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60" yWindow="105" windowWidth="14355" windowHeight="4875" activeTab="5"/>
  </bookViews>
  <sheets>
    <sheet name="2017" sheetId="6" r:id="rId1"/>
    <sheet name="2018" sheetId="4" r:id="rId2"/>
    <sheet name="2019" sheetId="5" r:id="rId3"/>
    <sheet name="2020" sheetId="1" r:id="rId4"/>
    <sheet name="Tổng hợp theo khoa" sheetId="2" r:id="rId5"/>
    <sheet name="Tổng hợp báo cáo Trưởng TT" sheetId="7" r:id="rId6"/>
    <sheet name="Sheet3" sheetId="3" r:id="rId7"/>
  </sheets>
  <calcPr calcId="144525"/>
</workbook>
</file>

<file path=xl/calcChain.xml><?xml version="1.0" encoding="utf-8"?>
<calcChain xmlns="http://schemas.openxmlformats.org/spreadsheetml/2006/main">
  <c r="M13" i="7" l="1"/>
  <c r="L13" i="7"/>
  <c r="J13" i="7"/>
  <c r="I13" i="7"/>
  <c r="G13" i="7"/>
  <c r="F13" i="7"/>
  <c r="D13" i="7"/>
  <c r="C13" i="7"/>
  <c r="J14" i="7"/>
  <c r="G14" i="7"/>
  <c r="F14" i="7"/>
  <c r="D14" i="7"/>
  <c r="C14" i="7"/>
  <c r="E14" i="7" s="1"/>
  <c r="M14" i="7"/>
  <c r="L14" i="7"/>
  <c r="I14" i="7"/>
  <c r="K14" i="7" s="1"/>
  <c r="M12" i="7"/>
  <c r="L12" i="7"/>
  <c r="J12" i="7"/>
  <c r="I12" i="7"/>
  <c r="G12" i="7"/>
  <c r="F12" i="7"/>
  <c r="D12" i="7"/>
  <c r="C12" i="7"/>
  <c r="E12" i="7" s="1"/>
  <c r="M11" i="7"/>
  <c r="L11" i="7"/>
  <c r="J11" i="7"/>
  <c r="I11" i="7"/>
  <c r="G11" i="7"/>
  <c r="F11" i="7"/>
  <c r="D11" i="7"/>
  <c r="C11" i="7"/>
  <c r="M10" i="7"/>
  <c r="L10" i="7"/>
  <c r="J10" i="7"/>
  <c r="I10" i="7"/>
  <c r="G10" i="7"/>
  <c r="F10" i="7"/>
  <c r="E11" i="7"/>
  <c r="D10" i="7"/>
  <c r="C10" i="7"/>
  <c r="E10" i="7" s="1"/>
  <c r="M9" i="7"/>
  <c r="L9" i="7"/>
  <c r="J9" i="7"/>
  <c r="I9" i="7"/>
  <c r="G9" i="7"/>
  <c r="F9" i="7"/>
  <c r="D9" i="7"/>
  <c r="C9" i="7"/>
  <c r="M8" i="7"/>
  <c r="L8" i="7"/>
  <c r="J8" i="7"/>
  <c r="I8" i="7"/>
  <c r="G8" i="7"/>
  <c r="F8" i="7"/>
  <c r="D8" i="7"/>
  <c r="C8" i="7"/>
  <c r="M7" i="7"/>
  <c r="L7" i="7"/>
  <c r="J7" i="7"/>
  <c r="I7" i="7"/>
  <c r="G7" i="7"/>
  <c r="F7" i="7"/>
  <c r="D7" i="7"/>
  <c r="C7" i="7"/>
  <c r="M6" i="7"/>
  <c r="L6" i="7"/>
  <c r="J6" i="7"/>
  <c r="I6" i="7"/>
  <c r="G6" i="7"/>
  <c r="F6" i="7"/>
  <c r="D6" i="7"/>
  <c r="C6" i="7"/>
  <c r="E6" i="7" s="1"/>
  <c r="K10" i="7" l="1"/>
  <c r="N10" i="7"/>
  <c r="H14" i="7"/>
  <c r="H12" i="7"/>
  <c r="K13" i="7"/>
  <c r="N14" i="7"/>
  <c r="N13" i="7"/>
  <c r="H13" i="7"/>
  <c r="E13" i="7"/>
  <c r="N12" i="7"/>
  <c r="K12" i="7"/>
  <c r="D15" i="7"/>
  <c r="C15" i="7"/>
  <c r="L15" i="7"/>
  <c r="G15" i="7"/>
  <c r="M15" i="7"/>
  <c r="N11" i="7"/>
  <c r="K11" i="7"/>
  <c r="I15" i="7"/>
  <c r="H11" i="7"/>
  <c r="J15" i="7"/>
  <c r="H10" i="7"/>
  <c r="F15" i="7"/>
  <c r="H8" i="7"/>
  <c r="N7" i="7"/>
  <c r="N9" i="7"/>
  <c r="K9" i="7"/>
  <c r="H9" i="7"/>
  <c r="E9" i="7"/>
  <c r="N8" i="7"/>
  <c r="K8" i="7"/>
  <c r="E8" i="7"/>
  <c r="H6" i="7"/>
  <c r="K7" i="7"/>
  <c r="H7" i="7"/>
  <c r="E7" i="7"/>
  <c r="N6" i="7"/>
  <c r="K6" i="7"/>
  <c r="C34" i="2"/>
  <c r="B34" i="2"/>
  <c r="K20" i="5"/>
  <c r="L20" i="5"/>
  <c r="U19" i="5"/>
  <c r="B33" i="2"/>
  <c r="D33" i="2" s="1"/>
  <c r="H27" i="2"/>
  <c r="I27" i="2" s="1"/>
  <c r="G27" i="2"/>
  <c r="C27" i="2"/>
  <c r="C26" i="2"/>
  <c r="C25" i="2"/>
  <c r="C24" i="2"/>
  <c r="B27" i="2"/>
  <c r="K19" i="5"/>
  <c r="S20" i="4"/>
  <c r="K21" i="4" s="1"/>
  <c r="K20" i="4"/>
  <c r="S16" i="6"/>
  <c r="K16" i="6"/>
  <c r="B25" i="2"/>
  <c r="B24" i="2"/>
  <c r="D24" i="2" s="1"/>
  <c r="D34" i="2"/>
  <c r="C32" i="2"/>
  <c r="B32" i="2"/>
  <c r="D32" i="2" s="1"/>
  <c r="D31" i="2"/>
  <c r="C31" i="2"/>
  <c r="B31" i="2"/>
  <c r="H26" i="2"/>
  <c r="G26" i="2"/>
  <c r="I26" i="2" s="1"/>
  <c r="H25" i="2"/>
  <c r="G25" i="2"/>
  <c r="I25" i="2" s="1"/>
  <c r="I24" i="2"/>
  <c r="H24" i="2"/>
  <c r="G24" i="2"/>
  <c r="H20" i="2"/>
  <c r="H19" i="2"/>
  <c r="H18" i="2"/>
  <c r="H17" i="2"/>
  <c r="G20" i="2"/>
  <c r="I20" i="2" s="1"/>
  <c r="G19" i="2"/>
  <c r="I19" i="2" s="1"/>
  <c r="G18" i="2"/>
  <c r="G17" i="2"/>
  <c r="I17" i="2" s="1"/>
  <c r="C20" i="2"/>
  <c r="C19" i="2"/>
  <c r="C18" i="2"/>
  <c r="C17" i="2"/>
  <c r="B20" i="2"/>
  <c r="B19" i="2"/>
  <c r="D19" i="2" s="1"/>
  <c r="B18" i="2"/>
  <c r="B17" i="2"/>
  <c r="D17" i="2" s="1"/>
  <c r="H13" i="2"/>
  <c r="H12" i="2"/>
  <c r="I12" i="2" s="1"/>
  <c r="H11" i="2"/>
  <c r="H10" i="2"/>
  <c r="G13" i="2"/>
  <c r="G12" i="2"/>
  <c r="G11" i="2"/>
  <c r="I11" i="2" s="1"/>
  <c r="G10" i="2"/>
  <c r="I10" i="2" s="1"/>
  <c r="C13" i="2"/>
  <c r="C12" i="2"/>
  <c r="C11" i="2"/>
  <c r="D11" i="2" s="1"/>
  <c r="C10" i="2"/>
  <c r="D10" i="2" s="1"/>
  <c r="B13" i="2"/>
  <c r="B12" i="2"/>
  <c r="D12" i="2" s="1"/>
  <c r="B11" i="2"/>
  <c r="B10" i="2"/>
  <c r="H6" i="2"/>
  <c r="H5" i="2"/>
  <c r="H4" i="2"/>
  <c r="H3" i="2"/>
  <c r="G6" i="2"/>
  <c r="I6" i="2" s="1"/>
  <c r="G5" i="2"/>
  <c r="G4" i="2"/>
  <c r="G3" i="2"/>
  <c r="I13" i="2"/>
  <c r="I3" i="2"/>
  <c r="C6" i="2"/>
  <c r="C5" i="2"/>
  <c r="C4" i="2"/>
  <c r="B6" i="2"/>
  <c r="B5" i="2"/>
  <c r="B4" i="2"/>
  <c r="D3" i="2"/>
  <c r="C3" i="2"/>
  <c r="B3" i="2"/>
  <c r="W19" i="1"/>
  <c r="F17" i="6"/>
  <c r="G17" i="6"/>
  <c r="H17" i="6"/>
  <c r="I17" i="6"/>
  <c r="J17" i="6"/>
  <c r="K17" i="6"/>
  <c r="E17" i="6"/>
  <c r="F21" i="4"/>
  <c r="G21" i="4"/>
  <c r="H21" i="4"/>
  <c r="I21" i="4"/>
  <c r="J21" i="4"/>
  <c r="E21" i="4"/>
  <c r="E15" i="7" l="1"/>
  <c r="K15" i="7"/>
  <c r="N15" i="7"/>
  <c r="H15" i="7"/>
  <c r="I5" i="2"/>
  <c r="D27" i="2"/>
  <c r="D25" i="2"/>
  <c r="B26" i="2"/>
  <c r="D26" i="2" s="1"/>
  <c r="I18" i="2"/>
  <c r="D20" i="2"/>
  <c r="D18" i="2"/>
  <c r="D13" i="2"/>
  <c r="I4" i="2"/>
  <c r="D6" i="2"/>
  <c r="D5" i="2"/>
  <c r="D4" i="2"/>
  <c r="H20" i="5"/>
  <c r="I20" i="5"/>
  <c r="J20" i="5"/>
  <c r="G20" i="5"/>
  <c r="F20" i="5"/>
  <c r="E20" i="5"/>
  <c r="I18" i="5"/>
  <c r="J18" i="5"/>
  <c r="F18" i="5"/>
  <c r="E18" i="5"/>
  <c r="H18" i="5"/>
  <c r="G18" i="5"/>
  <c r="I17" i="5"/>
  <c r="J17" i="5"/>
  <c r="F17" i="5"/>
  <c r="E17" i="5"/>
  <c r="H17" i="5"/>
  <c r="G17" i="5"/>
  <c r="I16" i="5"/>
  <c r="J16" i="5"/>
  <c r="F16" i="5"/>
  <c r="E16" i="5"/>
  <c r="H16" i="5"/>
  <c r="G16" i="5"/>
  <c r="R15" i="5"/>
  <c r="T15" i="5"/>
  <c r="T19" i="5" s="1"/>
  <c r="O15" i="5"/>
  <c r="Q15" i="5"/>
  <c r="P15" i="5"/>
  <c r="N15" i="5"/>
  <c r="S15" i="5"/>
  <c r="S19" i="5" s="1"/>
  <c r="L14" i="5"/>
  <c r="L19" i="5" s="1"/>
  <c r="F14" i="5"/>
  <c r="R14" i="5"/>
  <c r="O14" i="5"/>
  <c r="P14" i="5"/>
  <c r="R12" i="5"/>
  <c r="P12" i="5"/>
  <c r="O12" i="5"/>
  <c r="Q12" i="5"/>
  <c r="N12" i="5"/>
  <c r="M13" i="5"/>
  <c r="M16" i="5"/>
  <c r="M17" i="5"/>
  <c r="M18" i="5"/>
  <c r="D12" i="5"/>
  <c r="D13" i="5"/>
  <c r="D15" i="5"/>
  <c r="C16" i="6"/>
  <c r="F11" i="5"/>
  <c r="I11" i="5"/>
  <c r="I19" i="5" s="1"/>
  <c r="E11" i="5"/>
  <c r="H11" i="5"/>
  <c r="G11" i="5"/>
  <c r="I12" i="1"/>
  <c r="J12" i="1"/>
  <c r="F12" i="1"/>
  <c r="E12" i="1"/>
  <c r="H12" i="1"/>
  <c r="G12" i="1"/>
  <c r="Y12" i="1"/>
  <c r="N12" i="1"/>
  <c r="H15" i="6"/>
  <c r="D14" i="6"/>
  <c r="N14" i="6"/>
  <c r="P14" i="6"/>
  <c r="Q14" i="6"/>
  <c r="R14" i="6"/>
  <c r="O14" i="6"/>
  <c r="M14" i="6"/>
  <c r="F13" i="6"/>
  <c r="F16" i="6" s="1"/>
  <c r="G13" i="6"/>
  <c r="E13" i="6"/>
  <c r="I13" i="6"/>
  <c r="J13" i="6"/>
  <c r="H13" i="6"/>
  <c r="Q11" i="6"/>
  <c r="Q16" i="6" s="1"/>
  <c r="M11" i="6"/>
  <c r="M16" i="6" s="1"/>
  <c r="P11" i="6"/>
  <c r="O11" i="6"/>
  <c r="R16" i="6"/>
  <c r="N16" i="6"/>
  <c r="J16" i="6"/>
  <c r="P16" i="6"/>
  <c r="L15" i="6"/>
  <c r="D15" i="6"/>
  <c r="I16" i="6"/>
  <c r="L13" i="6"/>
  <c r="D12" i="6"/>
  <c r="D11" i="6"/>
  <c r="Q19" i="5"/>
  <c r="G19" i="5"/>
  <c r="R19" i="5"/>
  <c r="P19" i="5"/>
  <c r="O19" i="5"/>
  <c r="M11" i="5"/>
  <c r="D12" i="1" l="1"/>
  <c r="F19" i="5"/>
  <c r="J19" i="5"/>
  <c r="H19" i="5"/>
  <c r="D18" i="5"/>
  <c r="W18" i="5" s="1"/>
  <c r="E19" i="5"/>
  <c r="D17" i="5"/>
  <c r="D16" i="5"/>
  <c r="M15" i="5"/>
  <c r="N19" i="5"/>
  <c r="D14" i="5"/>
  <c r="M14" i="5"/>
  <c r="M12" i="5"/>
  <c r="D11" i="5"/>
  <c r="H16" i="6"/>
  <c r="L14" i="6"/>
  <c r="D13" i="6"/>
  <c r="G16" i="6"/>
  <c r="L11" i="6"/>
  <c r="O16" i="6"/>
  <c r="D16" i="6"/>
  <c r="E16" i="6"/>
  <c r="E19" i="1"/>
  <c r="G19" i="1"/>
  <c r="H19" i="1"/>
  <c r="I19" i="1"/>
  <c r="J19" i="1"/>
  <c r="L19" i="1"/>
  <c r="M19" i="1"/>
  <c r="T19" i="1"/>
  <c r="V19" i="1"/>
  <c r="R13" i="1"/>
  <c r="R19" i="1" s="1"/>
  <c r="S13" i="1"/>
  <c r="S19" i="1" s="1"/>
  <c r="K13" i="1"/>
  <c r="K19" i="1" s="1"/>
  <c r="F13" i="1"/>
  <c r="F19" i="1" s="1"/>
  <c r="U13" i="1"/>
  <c r="U19" i="1" s="1"/>
  <c r="P13" i="1"/>
  <c r="P19" i="1" s="1"/>
  <c r="Q13" i="1"/>
  <c r="Q19" i="1" s="1"/>
  <c r="O13" i="1"/>
  <c r="O19" i="1" s="1"/>
  <c r="R20" i="4"/>
  <c r="D19" i="4"/>
  <c r="L19" i="4"/>
  <c r="L18" i="4"/>
  <c r="J18" i="4"/>
  <c r="J20" i="4" s="1"/>
  <c r="H18" i="4"/>
  <c r="G18" i="4"/>
  <c r="E18" i="4"/>
  <c r="L17" i="4"/>
  <c r="D17" i="4"/>
  <c r="Q16" i="4"/>
  <c r="Q20" i="4" s="1"/>
  <c r="P16" i="4"/>
  <c r="P20" i="4" s="1"/>
  <c r="O16" i="4"/>
  <c r="O20" i="4" s="1"/>
  <c r="N16" i="4"/>
  <c r="N20" i="4" s="1"/>
  <c r="M16" i="4"/>
  <c r="M20" i="4" s="1"/>
  <c r="D16" i="4"/>
  <c r="L15" i="4"/>
  <c r="D15" i="4"/>
  <c r="I14" i="4"/>
  <c r="I20" i="4" s="1"/>
  <c r="H14" i="4"/>
  <c r="G14" i="4"/>
  <c r="F14" i="4"/>
  <c r="F20" i="4" s="1"/>
  <c r="E14" i="4"/>
  <c r="L13" i="4"/>
  <c r="D13" i="4"/>
  <c r="D12" i="4"/>
  <c r="L11" i="4"/>
  <c r="D11" i="4"/>
  <c r="D10" i="1"/>
  <c r="D11" i="1"/>
  <c r="D14" i="1"/>
  <c r="D15" i="1"/>
  <c r="D16" i="1"/>
  <c r="D17" i="1"/>
  <c r="D18" i="1"/>
  <c r="N10" i="1"/>
  <c r="N11" i="1"/>
  <c r="N14" i="1"/>
  <c r="N15" i="1"/>
  <c r="N16" i="1"/>
  <c r="N17" i="1"/>
  <c r="N18" i="1"/>
  <c r="D13" i="1" l="1"/>
  <c r="D19" i="1"/>
  <c r="L20" i="1"/>
  <c r="H20" i="1"/>
  <c r="G20" i="1"/>
  <c r="J20" i="1"/>
  <c r="F20" i="1"/>
  <c r="K20" i="1"/>
  <c r="M20" i="1"/>
  <c r="I20" i="1"/>
  <c r="E20" i="1"/>
  <c r="D19" i="5"/>
  <c r="M19" i="5"/>
  <c r="E20" i="4"/>
  <c r="L16" i="6"/>
  <c r="N13" i="1"/>
  <c r="N19" i="1" s="1"/>
  <c r="C19" i="1" s="1"/>
  <c r="G20" i="4"/>
  <c r="H20" i="4"/>
  <c r="D18" i="4"/>
  <c r="L16" i="4"/>
  <c r="L20" i="4" s="1"/>
  <c r="D14" i="4"/>
  <c r="D20" i="4" s="1"/>
  <c r="C19" i="5" l="1"/>
  <c r="C20" i="4"/>
</calcChain>
</file>

<file path=xl/sharedStrings.xml><?xml version="1.0" encoding="utf-8"?>
<sst xmlns="http://schemas.openxmlformats.org/spreadsheetml/2006/main" count="270" uniqueCount="116">
  <si>
    <t>TT</t>
  </si>
  <si>
    <t>Số QĐ</t>
  </si>
  <si>
    <t>Nội dung</t>
  </si>
  <si>
    <t>Số lượng HSSV tốt nghiệp</t>
  </si>
  <si>
    <t>Cao đẳng</t>
  </si>
  <si>
    <t>Trung cấp</t>
  </si>
  <si>
    <t>CK</t>
  </si>
  <si>
    <t>ĐL</t>
  </si>
  <si>
    <t>Đ-ĐT</t>
  </si>
  <si>
    <t>NL</t>
  </si>
  <si>
    <t>CNTT</t>
  </si>
  <si>
    <t>May-TT</t>
  </si>
  <si>
    <t>XD</t>
  </si>
  <si>
    <t>NN</t>
  </si>
  <si>
    <t>Tổng</t>
  </si>
  <si>
    <t>Ghi chú</t>
  </si>
  <si>
    <t>199/QĐ-LTT-ĐT
ngày 12/3/2018</t>
  </si>
  <si>
    <t>213/QĐ-LTT-ĐT
ngày 14/3/2018</t>
  </si>
  <si>
    <t>908/QĐ-LTT-ĐT
ngày 13/8/2018</t>
  </si>
  <si>
    <t>909/QĐ-LTT-ĐT
ngày 13/8/2018</t>
  </si>
  <si>
    <t>KT</t>
  </si>
  <si>
    <t>859/QĐ-LTT-ĐT
ngày 07/8/2018</t>
  </si>
  <si>
    <t>906/QĐ-LTT-ĐT
ngày 22/8/2018</t>
  </si>
  <si>
    <t>991/QĐ-LTT-ĐT
ngày 18/9/2018</t>
  </si>
  <si>
    <t>1082/QĐ-LTT-ĐT
ngày 05/10/2018</t>
  </si>
  <si>
    <t>1119/QĐ-LTT-ĐT
ngày 11/10/2018</t>
  </si>
  <si>
    <t>117/QĐ-LTT-ĐT
ngày 13/02/2020</t>
  </si>
  <si>
    <t>171/QĐ-LTT-ĐT
ngày 05/3/2020</t>
  </si>
  <si>
    <t>TRƯỜNG CAO ĐẲNG LÝ TỰ TRỌNG</t>
  </si>
  <si>
    <t>THÀNH PHỐ HỒ CHÍ MINH</t>
  </si>
  <si>
    <t>TRUNG TÂM QUAN HỆ DOANH NGHIỆP</t>
  </si>
  <si>
    <t>CỘNG HÒA XÃ HỘI CHỦ NGHĨA VIỆT NAM</t>
  </si>
  <si>
    <t>Độc lập - Tự do - Hạnh phúc</t>
  </si>
  <si>
    <t>SỐ LƯỢNG HỌC SINH SINH VIÊN TỐT NGHIỆP NĂM 2018</t>
  </si>
  <si>
    <t>TRƯỞNG TRUNG TÂM QHDN</t>
  </si>
  <si>
    <t>SỐ LƯỢNG HỌC SINH SINH VIÊN TỐT NGHIỆP NĂM 2020</t>
  </si>
  <si>
    <t>Tp. Hồ Chí Minh, ngày 29 tháng 7 năm 2020</t>
  </si>
  <si>
    <t>685/QĐ-LTT-ĐT
ngày 15/7/2020</t>
  </si>
  <si>
    <t xml:space="preserve">Tổng </t>
  </si>
  <si>
    <t>Quyết định số 908/QĐ-LTT-ĐT ngày 13/8/2018 Về việc công nhận đủ điều kiện tốt nghiệp Trung cấp nghề, hệ chính quy cho học sinh khóa 15TCN</t>
  </si>
  <si>
    <t>Quyết định số 213/QĐ-LTT-ĐT ngày 14/3/2018 Về việc công nhận tốt nghiệp cao đẳng, hệ chính quy cho sinh viên trả nợ học phần (đợt xét tháng 3/2018)</t>
  </si>
  <si>
    <t>Quyết định số 199/QĐ-LTT-ĐT ngày 12/3/2018 Về việc công nhận tốt nghiệp Trung cấp chuyên nghiệp, hệ chính quy cho học sinh các khóa cũ thi lại, Kỳ thi tháng 01/2018</t>
  </si>
  <si>
    <t>Quyết định số 859/QĐ-LTT-ĐT ngày 07/8/2018 Về việc công nhận tốt nghiệp Cao đẳng nghề, hệ chính quy cho sinh viên khóa 15CĐ, 16LTCĐ và các khóa cũ trả nợ học phần</t>
  </si>
  <si>
    <t>Quyết định 909/QĐ-LTT-ĐT
ngày 13/8/2018 Về việc công nhận đủ điều kiện tốt nghiệp Cao đẳng nghề, hệ chính quy cho sinh viên khóa 15CĐN</t>
  </si>
  <si>
    <t>Quyết định số 906/QĐ-LTT-ĐT ngày 22/8/2018 Về việc công nhận đủ điều kiện tốt nghiệp Trung cấp chuyên nghiệp, hệ chính quy cho học sinh khóa 15TC(9+3), 16TCT(12+2N3T) và các khóa cũ thi lại, Kỳ thi tháng 7/2018</t>
  </si>
  <si>
    <t>Quyết định 991/QĐ-LTT-ĐT
ngày 18/9/2018 Về việc công nhận bổ sung tốt nghiệp Trung cấp chuyên nghiệp, hệ chính quy cho học sinh khóa 15TN(12+2), 15TCT(12+2N3T) thi lại, Kỳ thi tháng 7/2018</t>
  </si>
  <si>
    <t>Quyết định 1082/QĐ-LTT-ĐT
ngày 05/10/2018 Về việc công nhận tốt nghiệp Cao đẳng, hệ chính quy cho sinh viên khóa 15CĐ và khóa cũ trả nợ học phần (đợt bổ sung)</t>
  </si>
  <si>
    <t>Quyết định 1119/QĐ-LTT-ĐT
ngày 11/10/2018 Về việc công nhận tốt nghiệp Trung cấp, hệ chính quy cho học sinh khóa 17T2 (12+1N3T), Tháng 10/2018</t>
  </si>
  <si>
    <t>Quyết định 117/QĐ-LTT-ĐT ngày 13/02/2020 Về việc công nhận đủ điều kiện tốt nghiệp Trung cấp, hệ chính quy cho học sinh khóa 18T5 (12+1), và 18T6(12+1N3T)- Đợt xét tháng 01/2020</t>
  </si>
  <si>
    <t>Quyết định 171/QĐ-LTT-ĐT ngày 05/3/2020 Về việc công nhận đủ điều kiện tốt nghiệp Trung cấp, hệ chính quy cho học sinh khóa 18T2 (12+1N3T)- Đợt xét tháng 02/2020</t>
  </si>
  <si>
    <r>
      <t xml:space="preserve">Quyết định 685/QĐ-LTT-ĐT ngày 15/7/2020 Về việc công nhận đủ điều kiện tốt nghiệp Trung cấp chuyên nghiệp, Trung cấp nghề, </t>
    </r>
    <r>
      <rPr>
        <sz val="13"/>
        <color rgb="FFFF0000"/>
        <rFont val="Times New Roman"/>
        <family val="1"/>
      </rPr>
      <t xml:space="preserve">Cao đẳng nghề, </t>
    </r>
    <r>
      <rPr>
        <sz val="13"/>
        <color theme="1"/>
        <rFont val="Times New Roman"/>
        <family val="1"/>
      </rPr>
      <t>Trung cấp nghề hệ chính quy cho học sinh khóa 18T2 (12+1N3T)- Đợt xét tháng 7/2020</t>
    </r>
  </si>
  <si>
    <t>SỐ LƯỢNG HỌC SINH SINH VIÊN TỐT NGHIỆP NĂM 2017</t>
  </si>
  <si>
    <t>Tp. Hồ Chí Minh, ngày 06 tháng 8 năm 2020</t>
  </si>
  <si>
    <t>163/QĐ-LTT-ĐT
ngày 06/3/2017</t>
  </si>
  <si>
    <t>Quyết định số 163/QĐ-LTT-ĐT ngày 06/3/2017 Về việc công nhận tốt nghiệp Trung cấp chuyên nghiệp, hệ chính quy, Kỳ thi tháng 02/2017</t>
  </si>
  <si>
    <t>164/QĐ-LTT-ĐT
ngày 06/3/2017</t>
  </si>
  <si>
    <t>868/QĐ-LTT-ĐT
ngày 28/8/2017</t>
  </si>
  <si>
    <t>947/QĐ-LTT-ĐT
ngày 18/9/2017</t>
  </si>
  <si>
    <t>Quyết định số 868/QĐ-LTT-ĐT ngày 28/8/2017 Về việc công nhận tốt nghiệp Cao đẳng, hệ chính quy cho sinh viên khóa 14CĐ, 15LTCĐ và các khóa cũ trả nợ học phần.</t>
  </si>
  <si>
    <t>Quyết định số 164/QĐ-LTT-ĐT ngày 06/3/2017 Về việc công nhận tốt nghiệp Cao đẳng, hệ chính quy</t>
  </si>
  <si>
    <t>Quyết định số 947/QĐ-LTT-ĐT ngày 18/9/2017 Về việc công nhận tốt nghiệp Trung cấp chuyên nghiệp, hệ chính quy cho học sinh khóa 15TCT, 15TN và các khóa cũ thi lại.</t>
  </si>
  <si>
    <t>Xuân Thơ</t>
  </si>
  <si>
    <t>1025/QĐ-LTT-ĐT
ngày 12/10/2017</t>
  </si>
  <si>
    <t>Quyết định số 1025/QĐ-LTT-ĐT ngày 12/10/2017 Về việc công nhận tốt nghiệp Cao đẳng, hệ chính quy cho sinh viên khóa 14CĐ và khóa cũ trả nợ học phần (Đợt bổ sung)</t>
  </si>
  <si>
    <t>260/QĐ-LTT-ĐT
ngày 26/3/2020</t>
  </si>
  <si>
    <t>Quyết định 260/QĐ-LTT-ĐT ngày 26/3/2020 Về việc công nhận đủ điều kiện tốt nghiệp cao đẳng, hệ chính quy cho sinh viên các khóa cũ trả nợ học phần.</t>
  </si>
  <si>
    <t>278/QĐ-LTT-ĐT
ngày 26/3/2019</t>
  </si>
  <si>
    <t>SỐ LƯỢNG HỌC SINH SINH VIÊN TỐT NGHIỆP NĂM 2019</t>
  </si>
  <si>
    <t>Quyết định số 278/QĐ-LTT-ĐT ngày 26/3/2019 Về việc công nhận tốt nghiệp cao đẳng, hệ chính quy cho sinh viên các khóa cũ trả nợ học phần (Đợt xét tháng 3/2019)</t>
  </si>
  <si>
    <t>283/QĐ-LTT-ĐT
ngày 27/3/2019</t>
  </si>
  <si>
    <t>Quyết định số 283/QĐ-LTT-ĐT ngày 27/3/2019 Về việc công nhận tốt nghiệp Trung cấp chuyên nghiệp, Trung cấp nghề, Trung cấp, hệ chính quy cho học sinh các khóa cũ thi lại kỳ thi tháng 01/2019 và xét tháng 3/2019 diện trả nợ học phần.</t>
  </si>
  <si>
    <t>336/QĐ-LTT-ĐT
ngày 09/4/2019</t>
  </si>
  <si>
    <t>Quyết định số 336/QĐ-LTT-ĐT ngày 09/4/2019 Về việc công nhận tốt nghiệp Trung cấp chuyên nghiệp, hệ chính quy cho học sinh các khóa cũ thi lại kỳ thi tháng 01/2019.</t>
  </si>
  <si>
    <t>920/QĐ-LTT-ĐT
ngày 19/8/2019</t>
  </si>
  <si>
    <r>
      <t xml:space="preserve">Quyết định số 920/QĐ-LTT-ĐT ngày 19/8/2019 Về việc công nhận tốt nghiệp Trung cấp chuyên nghiệp, </t>
    </r>
    <r>
      <rPr>
        <sz val="13"/>
        <color rgb="FFFF0000"/>
        <rFont val="Times New Roman"/>
        <family val="1"/>
      </rPr>
      <t>Cao đẳng nghề</t>
    </r>
    <r>
      <rPr>
        <sz val="13"/>
        <color theme="1"/>
        <rFont val="Times New Roman"/>
        <family val="1"/>
      </rPr>
      <t xml:space="preserve"> hệ chính quy cho học sinh, sinh viên khóa 16TC (9+3), 16CĐN (12+3) và các khóa cũ thi lại. Kỳ thi tháng 7/2019.</t>
    </r>
  </si>
  <si>
    <t>939/QĐ-LTT-ĐT
ngày 28/8/2019</t>
  </si>
  <si>
    <t>Quyết định số 939/QĐ-LTT-ĐT ngày 28/8/2019 Về việc công nhận tốt nghiệp Trung cấp nghề, Trung cấp hệ chính quy cho học sinh khóa 16TCN (9+3) và khóa cũ thi lại - Kỳ thi tháng 8/2019 và xét tháng 8/2019 diện trả nợ học phần.</t>
  </si>
  <si>
    <t>946/QĐ-LTT-ĐT
ngày 29/8/2019</t>
  </si>
  <si>
    <t>Quyết định số 946/QĐ-LTT-ĐT ngày 29/8/2019 Về việc công nhận tốt nghiệp cao đẳng, hệ chính quy cho sinh viên 16CĐ và các khóa cũ trả nợ học phần.</t>
  </si>
  <si>
    <t>1195/QĐ-LTT-ĐT
ngày 10/10/2019</t>
  </si>
  <si>
    <t>1546/QĐ-LTT-ĐT
ngày 14/12/2019</t>
  </si>
  <si>
    <t>Quyết định số 1195/QĐ-LTT-ĐT ngày 10/10/2019 Về việc công nhận tốt nghiệp cao đẳng, hệ chính quy cho sinh viên khóa 16CĐ và các khóa cũ trả nợ học phần. (Đợt bổ sung).</t>
  </si>
  <si>
    <t xml:space="preserve">Quyết định số 1546/QĐ-LTT-ĐT ngày 14/12/2019 Về việc công nhận tốt nghiệp cao đẳng, hệ chính quy cho sinh viên khóa 17C1 và các khóa cũ trả nợ học phần. </t>
  </si>
  <si>
    <t>Tổng theo khoa</t>
  </si>
  <si>
    <t>Số lượng SVTN: Khoa Cơ khí</t>
  </si>
  <si>
    <t>Năm TN</t>
  </si>
  <si>
    <t>CĐ</t>
  </si>
  <si>
    <t>TC</t>
  </si>
  <si>
    <t>Số lượng SVTN: Khoa Điện - Điện tử</t>
  </si>
  <si>
    <t>Số lượng SVTN: Khoa Nhiệt lạnh</t>
  </si>
  <si>
    <t>Số lượng SVTN: Khoa May-TT</t>
  </si>
  <si>
    <t>Số lượng SVTN: Khoa CNTT</t>
  </si>
  <si>
    <t>Số lượng SVTN: Khoa Kinh tế</t>
  </si>
  <si>
    <t>Số lượng SVTN: Khoa Xây dựng</t>
  </si>
  <si>
    <t>Số lượng SVTN: ngành Ngoại ngữ</t>
  </si>
  <si>
    <t>Số lượng SVTN: Khoa Động lực</t>
  </si>
  <si>
    <t>STT</t>
  </si>
  <si>
    <t>Số SV tốt nghiệp năm 2017</t>
  </si>
  <si>
    <t>Số SV tốt nghiệp năm 2018</t>
  </si>
  <si>
    <t>Số SV tốt nghiệp năm 2019</t>
  </si>
  <si>
    <t>Số SV tốt nghiệp năm 2020</t>
  </si>
  <si>
    <t>Cơ khí</t>
  </si>
  <si>
    <t>Động lực</t>
  </si>
  <si>
    <t>Điện - Điện tử</t>
  </si>
  <si>
    <t>Nhiệt lạnh</t>
  </si>
  <si>
    <t>May - TT</t>
  </si>
  <si>
    <t>Kinh tế</t>
  </si>
  <si>
    <t>Xây dựng</t>
  </si>
  <si>
    <t>Ngoại ngữ</t>
  </si>
  <si>
    <t>Khoa/ngành</t>
  </si>
  <si>
    <t>TỔNG HỢP SỐ LIỆU HSSV TỐT NGHIỆP TỪ 01/1/2017 - 08/8/2020</t>
  </si>
  <si>
    <t>1. Số lượng SV tốt nghiệp theo các quyết định đã ban hành</t>
  </si>
  <si>
    <t>2. Tổng số phiếu khảo sát việc làm các năm</t>
  </si>
  <si>
    <t>Năm khảo sát</t>
  </si>
  <si>
    <t>Số lượng</t>
  </si>
  <si>
    <t>Chưa thống kê</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</si>
</sst>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b/>
      <sz val="13"/>
      <color theme="1"/>
      <name val="Times New Roman"/>
      <family val="1"/>
    </font>
    <font>
      <sz val="13"/>
      <color theme="1"/>
      <name val="Times New Roman"/>
      <family val="1"/>
    </font>
    <font>
      <b/>
      <sz val="10"/>
      <color theme="1"/>
      <name val="Times New Roman"/>
      <family val="1"/>
    </font>
    <font>
      <b/>
      <sz val="16"/>
      <color theme="1"/>
      <name val="Times New Roman"/>
      <family val="1"/>
    </font>
    <font>
      <i/>
      <sz val="13"/>
      <color theme="1"/>
      <name val="Times New Roman"/>
      <family val="1"/>
    </font>
    <font>
      <sz val="13"/>
      <color rgb="FFFF0000"/>
      <name val="Times New Roman"/>
      <family val="1"/>
    </font>
    <font>
      <sz val="10"/>
      <color theme="1"/>
      <name val="Times New Roman"/>
      <family val="1"/>
    </font>
  </fonts>
  <fills count="4">
    <fill>
      <patternFill patternType="none"/>
    </fill>
    <fill>
      <patternFill patternType="gray125"/>
    </fill>
    <fill>
      <patternFill patternType="solid">
        <fgColor rgb="FFFFFF00"/>
        <bgColor indexed="64"/>
      </patternFill>
    </fill>
    <fill>
      <patternFill patternType="solid">
        <fgColor rgb="FF92D05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50">
    <xf numFmtId="0" fontId="0" fillId="0" borderId="0" xfId="0"/>
    <xf numFmtId="0" fontId="2" fillId="0" borderId="0" xfId="0" applyFont="1"/>
    <xf numFmtId="0" fontId="1" fillId="0" borderId="1" xfId="0" applyFont="1" applyBorder="1" applyAlignment="1">
      <alignment horizontal="center" vertical="center"/>
    </xf>
    <xf numFmtId="0" fontId="2" fillId="0" borderId="1" xfId="0" applyFont="1" applyBorder="1"/>
    <xf numFmtId="0" fontId="2" fillId="0" borderId="0" xfId="0" applyFont="1" applyAlignment="1">
      <alignment horizontal="center"/>
    </xf>
    <xf numFmtId="0" fontId="2" fillId="0" borderId="1" xfId="0" applyFont="1" applyBorder="1" applyAlignment="1">
      <alignment vertical="top" wrapText="1"/>
    </xf>
    <xf numFmtId="0" fontId="2" fillId="0" borderId="1" xfId="0" applyFont="1" applyBorder="1" applyAlignment="1">
      <alignment horizontal="center" vertical="center"/>
    </xf>
    <xf numFmtId="0" fontId="1" fillId="0" borderId="0" xfId="0" applyFont="1"/>
    <xf numFmtId="0" fontId="1" fillId="0" borderId="1" xfId="0" applyFont="1" applyBorder="1" applyAlignment="1">
      <alignment horizontal="center"/>
    </xf>
    <xf numFmtId="0" fontId="3" fillId="0" borderId="1" xfId="0" applyFont="1" applyBorder="1" applyAlignment="1">
      <alignment horizontal="center" vertical="center" wrapText="1"/>
    </xf>
    <xf numFmtId="0" fontId="1" fillId="0" borderId="0" xfId="0" applyFont="1" applyAlignment="1">
      <alignment horizontal="center"/>
    </xf>
    <xf numFmtId="0" fontId="5" fillId="0" borderId="0" xfId="0" applyFont="1" applyAlignment="1">
      <alignment horizontal="center"/>
    </xf>
    <xf numFmtId="0" fontId="1" fillId="0" borderId="0" xfId="0" applyFont="1" applyAlignment="1">
      <alignment horizontal="center" vertical="top"/>
    </xf>
    <xf numFmtId="0" fontId="7" fillId="0" borderId="1" xfId="0" applyFont="1" applyBorder="1" applyAlignment="1">
      <alignment horizontal="center" vertical="center" wrapText="1"/>
    </xf>
    <xf numFmtId="0" fontId="1" fillId="0" borderId="1" xfId="0" applyFont="1" applyBorder="1" applyAlignment="1">
      <alignment horizontal="center"/>
    </xf>
    <xf numFmtId="0" fontId="2" fillId="2" borderId="1" xfId="0" applyFont="1" applyFill="1" applyBorder="1" applyAlignment="1">
      <alignment vertical="top" wrapText="1"/>
    </xf>
    <xf numFmtId="0" fontId="1" fillId="0" borderId="1" xfId="0" applyFont="1" applyBorder="1" applyAlignment="1">
      <alignment horizontal="center" vertical="center" wrapText="1"/>
    </xf>
    <xf numFmtId="0" fontId="3" fillId="0" borderId="6" xfId="0" applyFont="1" applyBorder="1" applyAlignment="1">
      <alignment horizontal="center" vertical="center" wrapText="1"/>
    </xf>
    <xf numFmtId="0" fontId="2" fillId="0" borderId="1" xfId="0" applyFont="1" applyBorder="1" applyAlignment="1">
      <alignment horizontal="center" vertical="center" wrapText="1"/>
    </xf>
    <xf numFmtId="0" fontId="2" fillId="3" borderId="1" xfId="0" applyFont="1" applyFill="1" applyBorder="1" applyAlignment="1">
      <alignment vertical="top" wrapText="1"/>
    </xf>
    <xf numFmtId="0" fontId="2" fillId="0" borderId="1" xfId="0" applyFont="1" applyBorder="1" applyAlignment="1">
      <alignment horizontal="center"/>
    </xf>
    <xf numFmtId="0" fontId="1" fillId="2" borderId="1" xfId="0" applyFont="1" applyFill="1" applyBorder="1" applyAlignment="1">
      <alignment horizontal="center"/>
    </xf>
    <xf numFmtId="0" fontId="1" fillId="2" borderId="1" xfId="0" applyFont="1" applyFill="1" applyBorder="1" applyAlignment="1">
      <alignment horizontal="center" vertical="center"/>
    </xf>
    <xf numFmtId="0" fontId="2" fillId="2" borderId="1" xfId="0" applyFont="1" applyFill="1" applyBorder="1" applyAlignment="1">
      <alignment horizontal="center" vertical="center"/>
    </xf>
    <xf numFmtId="0" fontId="1" fillId="0" borderId="1" xfId="0" applyFont="1" applyBorder="1" applyAlignment="1">
      <alignment horizontal="center"/>
    </xf>
    <xf numFmtId="0" fontId="1" fillId="0" borderId="1" xfId="0" applyFont="1" applyBorder="1" applyAlignment="1">
      <alignment horizontal="center" vertical="center" wrapText="1"/>
    </xf>
    <xf numFmtId="0" fontId="2" fillId="0" borderId="1" xfId="0" applyFont="1" applyBorder="1" applyAlignment="1">
      <alignment horizontal="center"/>
    </xf>
    <xf numFmtId="0" fontId="2" fillId="0" borderId="1" xfId="0" applyFont="1" applyBorder="1" applyAlignment="1">
      <alignment horizontal="left"/>
    </xf>
    <xf numFmtId="0" fontId="1" fillId="0" borderId="0" xfId="0" applyFont="1" applyAlignment="1">
      <alignment vertical="center"/>
    </xf>
    <xf numFmtId="0" fontId="1" fillId="0" borderId="1" xfId="0" applyFont="1" applyBorder="1" applyAlignment="1">
      <alignment horizontal="center"/>
    </xf>
    <xf numFmtId="0" fontId="4" fillId="0" borderId="0" xfId="0" applyFont="1" applyAlignment="1">
      <alignment horizontal="center"/>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1" fillId="2" borderId="1" xfId="0" applyFont="1" applyFill="1" applyBorder="1" applyAlignment="1">
      <alignment horizontal="center"/>
    </xf>
    <xf numFmtId="0" fontId="2" fillId="0" borderId="1" xfId="0" applyFont="1" applyBorder="1" applyAlignment="1">
      <alignment horizontal="center"/>
    </xf>
    <xf numFmtId="0" fontId="1" fillId="0" borderId="5" xfId="0" applyFont="1" applyBorder="1" applyAlignment="1">
      <alignment horizontal="center"/>
    </xf>
    <xf numFmtId="0" fontId="1" fillId="0" borderId="7" xfId="0" applyFont="1" applyBorder="1" applyAlignment="1">
      <alignment horizontal="center"/>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2" fillId="0" borderId="0" xfId="0" applyFont="1" applyAlignment="1"/>
    <xf numFmtId="0" fontId="1" fillId="0" borderId="2" xfId="0" applyFont="1" applyBorder="1" applyAlignment="1">
      <alignment horizontal="center" vertical="center"/>
    </xf>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1" fillId="0" borderId="7" xfId="0" applyFont="1" applyBorder="1" applyAlignment="1">
      <alignment horizontal="center" vertical="center"/>
    </xf>
    <xf numFmtId="0" fontId="2" fillId="0" borderId="0" xfId="0" applyFont="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781050</xdr:colOff>
      <xdr:row>4</xdr:row>
      <xdr:rowOff>19050</xdr:rowOff>
    </xdr:from>
    <xdr:to>
      <xdr:col>3</xdr:col>
      <xdr:colOff>38100</xdr:colOff>
      <xdr:row>4</xdr:row>
      <xdr:rowOff>19050</xdr:rowOff>
    </xdr:to>
    <xdr:cxnSp macro="">
      <xdr:nvCxnSpPr>
        <xdr:cNvPr id="2" name="Straight Connector 1"/>
        <xdr:cNvCxnSpPr/>
      </xdr:nvCxnSpPr>
      <xdr:spPr>
        <a:xfrm>
          <a:off x="1038225" y="857250"/>
          <a:ext cx="21907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9</xdr:col>
      <xdr:colOff>228600</xdr:colOff>
      <xdr:row>3</xdr:row>
      <xdr:rowOff>19050</xdr:rowOff>
    </xdr:from>
    <xdr:to>
      <xdr:col>15</xdr:col>
      <xdr:colOff>123825</xdr:colOff>
      <xdr:row>3</xdr:row>
      <xdr:rowOff>19050</xdr:rowOff>
    </xdr:to>
    <xdr:cxnSp macro="">
      <xdr:nvCxnSpPr>
        <xdr:cNvPr id="3" name="Straight Connector 2"/>
        <xdr:cNvCxnSpPr/>
      </xdr:nvCxnSpPr>
      <xdr:spPr>
        <a:xfrm>
          <a:off x="5419725" y="647700"/>
          <a:ext cx="18954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781050</xdr:colOff>
      <xdr:row>4</xdr:row>
      <xdr:rowOff>19050</xdr:rowOff>
    </xdr:from>
    <xdr:to>
      <xdr:col>3</xdr:col>
      <xdr:colOff>38100</xdr:colOff>
      <xdr:row>4</xdr:row>
      <xdr:rowOff>19050</xdr:rowOff>
    </xdr:to>
    <xdr:cxnSp macro="">
      <xdr:nvCxnSpPr>
        <xdr:cNvPr id="4" name="Straight Connector 3"/>
        <xdr:cNvCxnSpPr/>
      </xdr:nvCxnSpPr>
      <xdr:spPr>
        <a:xfrm>
          <a:off x="1038225" y="857250"/>
          <a:ext cx="21907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9</xdr:col>
      <xdr:colOff>228600</xdr:colOff>
      <xdr:row>3</xdr:row>
      <xdr:rowOff>19050</xdr:rowOff>
    </xdr:from>
    <xdr:to>
      <xdr:col>15</xdr:col>
      <xdr:colOff>123825</xdr:colOff>
      <xdr:row>3</xdr:row>
      <xdr:rowOff>19050</xdr:rowOff>
    </xdr:to>
    <xdr:cxnSp macro="">
      <xdr:nvCxnSpPr>
        <xdr:cNvPr id="5" name="Straight Connector 4"/>
        <xdr:cNvCxnSpPr/>
      </xdr:nvCxnSpPr>
      <xdr:spPr>
        <a:xfrm>
          <a:off x="5419725" y="647700"/>
          <a:ext cx="18954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781050</xdr:colOff>
      <xdr:row>4</xdr:row>
      <xdr:rowOff>19050</xdr:rowOff>
    </xdr:from>
    <xdr:to>
      <xdr:col>3</xdr:col>
      <xdr:colOff>38100</xdr:colOff>
      <xdr:row>4</xdr:row>
      <xdr:rowOff>19050</xdr:rowOff>
    </xdr:to>
    <xdr:cxnSp macro="">
      <xdr:nvCxnSpPr>
        <xdr:cNvPr id="3" name="Straight Connector 2"/>
        <xdr:cNvCxnSpPr/>
      </xdr:nvCxnSpPr>
      <xdr:spPr>
        <a:xfrm>
          <a:off x="1038225" y="857250"/>
          <a:ext cx="21907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9</xdr:col>
      <xdr:colOff>228600</xdr:colOff>
      <xdr:row>3</xdr:row>
      <xdr:rowOff>19050</xdr:rowOff>
    </xdr:from>
    <xdr:to>
      <xdr:col>15</xdr:col>
      <xdr:colOff>123825</xdr:colOff>
      <xdr:row>3</xdr:row>
      <xdr:rowOff>19050</xdr:rowOff>
    </xdr:to>
    <xdr:cxnSp macro="">
      <xdr:nvCxnSpPr>
        <xdr:cNvPr id="4" name="Straight Connector 3"/>
        <xdr:cNvCxnSpPr/>
      </xdr:nvCxnSpPr>
      <xdr:spPr>
        <a:xfrm>
          <a:off x="5419725" y="647700"/>
          <a:ext cx="18954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781050</xdr:colOff>
      <xdr:row>4</xdr:row>
      <xdr:rowOff>19050</xdr:rowOff>
    </xdr:from>
    <xdr:to>
      <xdr:col>3</xdr:col>
      <xdr:colOff>38100</xdr:colOff>
      <xdr:row>4</xdr:row>
      <xdr:rowOff>19050</xdr:rowOff>
    </xdr:to>
    <xdr:cxnSp macro="">
      <xdr:nvCxnSpPr>
        <xdr:cNvPr id="10" name="Straight Connector 9"/>
        <xdr:cNvCxnSpPr/>
      </xdr:nvCxnSpPr>
      <xdr:spPr>
        <a:xfrm>
          <a:off x="1038225" y="857250"/>
          <a:ext cx="21907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9</xdr:col>
      <xdr:colOff>228600</xdr:colOff>
      <xdr:row>3</xdr:row>
      <xdr:rowOff>19050</xdr:rowOff>
    </xdr:from>
    <xdr:to>
      <xdr:col>15</xdr:col>
      <xdr:colOff>123825</xdr:colOff>
      <xdr:row>3</xdr:row>
      <xdr:rowOff>19050</xdr:rowOff>
    </xdr:to>
    <xdr:cxnSp macro="">
      <xdr:nvCxnSpPr>
        <xdr:cNvPr id="11" name="Straight Connector 10"/>
        <xdr:cNvCxnSpPr/>
      </xdr:nvCxnSpPr>
      <xdr:spPr>
        <a:xfrm>
          <a:off x="5419725" y="647700"/>
          <a:ext cx="18954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781050</xdr:colOff>
      <xdr:row>4</xdr:row>
      <xdr:rowOff>19050</xdr:rowOff>
    </xdr:from>
    <xdr:to>
      <xdr:col>3</xdr:col>
      <xdr:colOff>38100</xdr:colOff>
      <xdr:row>4</xdr:row>
      <xdr:rowOff>19050</xdr:rowOff>
    </xdr:to>
    <xdr:cxnSp macro="">
      <xdr:nvCxnSpPr>
        <xdr:cNvPr id="2" name="Straight Connector 1"/>
        <xdr:cNvCxnSpPr/>
      </xdr:nvCxnSpPr>
      <xdr:spPr>
        <a:xfrm>
          <a:off x="1038225" y="857250"/>
          <a:ext cx="21907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9</xdr:col>
      <xdr:colOff>228600</xdr:colOff>
      <xdr:row>3</xdr:row>
      <xdr:rowOff>19050</xdr:rowOff>
    </xdr:from>
    <xdr:to>
      <xdr:col>16</xdr:col>
      <xdr:colOff>123825</xdr:colOff>
      <xdr:row>3</xdr:row>
      <xdr:rowOff>19050</xdr:rowOff>
    </xdr:to>
    <xdr:cxnSp macro="">
      <xdr:nvCxnSpPr>
        <xdr:cNvPr id="3" name="Straight Connector 2"/>
        <xdr:cNvCxnSpPr/>
      </xdr:nvCxnSpPr>
      <xdr:spPr>
        <a:xfrm>
          <a:off x="5419725" y="647700"/>
          <a:ext cx="18954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781050</xdr:colOff>
      <xdr:row>4</xdr:row>
      <xdr:rowOff>19050</xdr:rowOff>
    </xdr:from>
    <xdr:to>
      <xdr:col>3</xdr:col>
      <xdr:colOff>38100</xdr:colOff>
      <xdr:row>4</xdr:row>
      <xdr:rowOff>19050</xdr:rowOff>
    </xdr:to>
    <xdr:cxnSp macro="">
      <xdr:nvCxnSpPr>
        <xdr:cNvPr id="4" name="Straight Connector 3"/>
        <xdr:cNvCxnSpPr/>
      </xdr:nvCxnSpPr>
      <xdr:spPr>
        <a:xfrm>
          <a:off x="1038225" y="857250"/>
          <a:ext cx="21907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9</xdr:col>
      <xdr:colOff>228600</xdr:colOff>
      <xdr:row>3</xdr:row>
      <xdr:rowOff>19050</xdr:rowOff>
    </xdr:from>
    <xdr:to>
      <xdr:col>16</xdr:col>
      <xdr:colOff>123825</xdr:colOff>
      <xdr:row>3</xdr:row>
      <xdr:rowOff>19050</xdr:rowOff>
    </xdr:to>
    <xdr:cxnSp macro="">
      <xdr:nvCxnSpPr>
        <xdr:cNvPr id="5" name="Straight Connector 4"/>
        <xdr:cNvCxnSpPr/>
      </xdr:nvCxnSpPr>
      <xdr:spPr>
        <a:xfrm>
          <a:off x="5419725" y="647700"/>
          <a:ext cx="18954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704850</xdr:colOff>
      <xdr:row>3</xdr:row>
      <xdr:rowOff>219075</xdr:rowOff>
    </xdr:from>
    <xdr:to>
      <xdr:col>2</xdr:col>
      <xdr:colOff>1943100</xdr:colOff>
      <xdr:row>3</xdr:row>
      <xdr:rowOff>219075</xdr:rowOff>
    </xdr:to>
    <xdr:cxnSp macro="">
      <xdr:nvCxnSpPr>
        <xdr:cNvPr id="7" name="Straight Connector 6"/>
        <xdr:cNvCxnSpPr/>
      </xdr:nvCxnSpPr>
      <xdr:spPr>
        <a:xfrm>
          <a:off x="1152525" y="847725"/>
          <a:ext cx="2105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13</xdr:col>
      <xdr:colOff>57150</xdr:colOff>
      <xdr:row>3</xdr:row>
      <xdr:rowOff>19050</xdr:rowOff>
    </xdr:from>
    <xdr:to>
      <xdr:col>18</xdr:col>
      <xdr:colOff>104775</xdr:colOff>
      <xdr:row>3</xdr:row>
      <xdr:rowOff>19050</xdr:rowOff>
    </xdr:to>
    <xdr:cxnSp macro="">
      <xdr:nvCxnSpPr>
        <xdr:cNvPr id="8" name="Straight Connector 7"/>
        <xdr:cNvCxnSpPr/>
      </xdr:nvCxnSpPr>
      <xdr:spPr>
        <a:xfrm>
          <a:off x="5876925" y="647700"/>
          <a:ext cx="16192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T18"/>
  <sheetViews>
    <sheetView topLeftCell="A2" workbookViewId="0">
      <pane xSplit="3" ySplit="9" topLeftCell="D14" activePane="bottomRight" state="frozen"/>
      <selection activeCell="A2" sqref="A2"/>
      <selection pane="topRight" activeCell="D2" sqref="D2"/>
      <selection pane="bottomLeft" activeCell="A10" sqref="A10"/>
      <selection pane="bottomRight" activeCell="Q21" sqref="Q21"/>
    </sheetView>
  </sheetViews>
  <sheetFormatPr defaultRowHeight="16.5" x14ac:dyDescent="0.25"/>
  <cols>
    <col min="1" max="1" width="3.85546875" style="1" customWidth="1"/>
    <col min="2" max="2" width="13" style="1" customWidth="1"/>
    <col min="3" max="3" width="31" style="1" customWidth="1"/>
    <col min="4" max="19" width="5" style="1" customWidth="1"/>
    <col min="20" max="16384" width="9.140625" style="1"/>
  </cols>
  <sheetData>
    <row r="2" spans="1:20" x14ac:dyDescent="0.25">
      <c r="C2" s="4" t="s">
        <v>28</v>
      </c>
      <c r="M2" s="10" t="s">
        <v>31</v>
      </c>
    </row>
    <row r="3" spans="1:20" x14ac:dyDescent="0.25">
      <c r="C3" s="4" t="s">
        <v>29</v>
      </c>
      <c r="M3" s="10" t="s">
        <v>32</v>
      </c>
    </row>
    <row r="4" spans="1:20" x14ac:dyDescent="0.25">
      <c r="C4" s="10" t="s">
        <v>30</v>
      </c>
    </row>
    <row r="5" spans="1:20" x14ac:dyDescent="0.25">
      <c r="C5" s="10"/>
      <c r="M5" s="11" t="s">
        <v>52</v>
      </c>
    </row>
    <row r="6" spans="1:20" ht="29.25" customHeight="1" x14ac:dyDescent="0.3">
      <c r="A6" s="30" t="s">
        <v>51</v>
      </c>
      <c r="B6" s="30"/>
      <c r="C6" s="30"/>
      <c r="D6" s="30"/>
      <c r="E6" s="30"/>
      <c r="F6" s="30"/>
      <c r="G6" s="30"/>
      <c r="H6" s="30"/>
      <c r="I6" s="30"/>
      <c r="J6" s="30"/>
      <c r="K6" s="30"/>
      <c r="L6" s="30"/>
      <c r="M6" s="30"/>
      <c r="N6" s="30"/>
      <c r="O6" s="30"/>
      <c r="P6" s="30"/>
      <c r="Q6" s="30"/>
      <c r="R6" s="30"/>
      <c r="S6" s="30"/>
      <c r="T6" s="30"/>
    </row>
    <row r="7" spans="1:20" ht="8.25" customHeight="1" x14ac:dyDescent="0.25"/>
    <row r="8" spans="1:20" x14ac:dyDescent="0.25">
      <c r="A8" s="31" t="s">
        <v>0</v>
      </c>
      <c r="B8" s="31" t="s">
        <v>1</v>
      </c>
      <c r="C8" s="31" t="s">
        <v>2</v>
      </c>
      <c r="D8" s="34" t="s">
        <v>3</v>
      </c>
      <c r="E8" s="34"/>
      <c r="F8" s="34"/>
      <c r="G8" s="34"/>
      <c r="H8" s="34"/>
      <c r="I8" s="34"/>
      <c r="J8" s="34"/>
      <c r="K8" s="34"/>
      <c r="L8" s="34"/>
      <c r="M8" s="34"/>
      <c r="N8" s="34"/>
      <c r="O8" s="34"/>
      <c r="P8" s="34"/>
      <c r="Q8" s="34"/>
      <c r="R8" s="34"/>
      <c r="S8" s="34"/>
      <c r="T8" s="34" t="s">
        <v>15</v>
      </c>
    </row>
    <row r="9" spans="1:20" ht="16.5" customHeight="1" x14ac:dyDescent="0.25">
      <c r="A9" s="32"/>
      <c r="B9" s="32"/>
      <c r="C9" s="32"/>
      <c r="D9" s="35" t="s">
        <v>4</v>
      </c>
      <c r="E9" s="36"/>
      <c r="F9" s="36"/>
      <c r="G9" s="36"/>
      <c r="H9" s="36"/>
      <c r="I9" s="36"/>
      <c r="J9" s="36"/>
      <c r="K9" s="36"/>
      <c r="L9" s="35" t="s">
        <v>5</v>
      </c>
      <c r="M9" s="36"/>
      <c r="N9" s="36"/>
      <c r="O9" s="36"/>
      <c r="P9" s="36"/>
      <c r="Q9" s="36"/>
      <c r="R9" s="36"/>
      <c r="S9" s="36"/>
      <c r="T9" s="34"/>
    </row>
    <row r="10" spans="1:20" ht="25.5" x14ac:dyDescent="0.25">
      <c r="A10" s="33"/>
      <c r="B10" s="33"/>
      <c r="C10" s="33"/>
      <c r="D10" s="9" t="s">
        <v>14</v>
      </c>
      <c r="E10" s="9" t="s">
        <v>6</v>
      </c>
      <c r="F10" s="9" t="s">
        <v>7</v>
      </c>
      <c r="G10" s="9" t="s">
        <v>8</v>
      </c>
      <c r="H10" s="9" t="s">
        <v>9</v>
      </c>
      <c r="I10" s="9" t="s">
        <v>10</v>
      </c>
      <c r="J10" s="9" t="s">
        <v>11</v>
      </c>
      <c r="K10" s="9" t="s">
        <v>20</v>
      </c>
      <c r="L10" s="9" t="s">
        <v>14</v>
      </c>
      <c r="M10" s="9" t="s">
        <v>6</v>
      </c>
      <c r="N10" s="9" t="s">
        <v>7</v>
      </c>
      <c r="O10" s="9" t="s">
        <v>8</v>
      </c>
      <c r="P10" s="9" t="s">
        <v>9</v>
      </c>
      <c r="Q10" s="9" t="s">
        <v>10</v>
      </c>
      <c r="R10" s="9" t="s">
        <v>11</v>
      </c>
      <c r="S10" s="9" t="s">
        <v>20</v>
      </c>
      <c r="T10" s="34"/>
    </row>
    <row r="11" spans="1:20" ht="82.5" x14ac:dyDescent="0.25">
      <c r="A11" s="6">
        <v>1</v>
      </c>
      <c r="B11" s="5" t="s">
        <v>53</v>
      </c>
      <c r="C11" s="5" t="s">
        <v>54</v>
      </c>
      <c r="D11" s="6">
        <f t="shared" ref="D11:D15" si="0">SUM(E11:K11)</f>
        <v>0</v>
      </c>
      <c r="E11" s="6"/>
      <c r="F11" s="6"/>
      <c r="G11" s="6"/>
      <c r="H11" s="6"/>
      <c r="I11" s="6"/>
      <c r="J11" s="6"/>
      <c r="K11" s="6"/>
      <c r="L11" s="6">
        <f>SUM(M11:S11)</f>
        <v>32</v>
      </c>
      <c r="M11" s="6">
        <f>1+9</f>
        <v>10</v>
      </c>
      <c r="N11" s="6">
        <v>10</v>
      </c>
      <c r="O11" s="6">
        <f>1+3</f>
        <v>4</v>
      </c>
      <c r="P11" s="6">
        <f>1</f>
        <v>1</v>
      </c>
      <c r="Q11" s="6">
        <f>1+4</f>
        <v>5</v>
      </c>
      <c r="R11" s="6">
        <v>2</v>
      </c>
      <c r="S11" s="6"/>
      <c r="T11" s="6"/>
    </row>
    <row r="12" spans="1:20" ht="66" x14ac:dyDescent="0.25">
      <c r="A12" s="6">
        <v>2</v>
      </c>
      <c r="B12" s="5" t="s">
        <v>55</v>
      </c>
      <c r="C12" s="5" t="s">
        <v>59</v>
      </c>
      <c r="D12" s="6">
        <f t="shared" si="0"/>
        <v>45</v>
      </c>
      <c r="E12" s="6">
        <v>14</v>
      </c>
      <c r="F12" s="6">
        <v>6</v>
      </c>
      <c r="G12" s="6">
        <v>15</v>
      </c>
      <c r="H12" s="6"/>
      <c r="I12" s="6">
        <v>8</v>
      </c>
      <c r="J12" s="6">
        <v>2</v>
      </c>
      <c r="K12" s="6"/>
      <c r="L12" s="6"/>
      <c r="M12" s="6"/>
      <c r="N12" s="6"/>
      <c r="O12" s="6"/>
      <c r="P12" s="6"/>
      <c r="Q12" s="6"/>
      <c r="R12" s="6"/>
      <c r="S12" s="6"/>
      <c r="T12" s="6"/>
    </row>
    <row r="13" spans="1:20" ht="99" x14ac:dyDescent="0.25">
      <c r="A13" s="6">
        <v>3</v>
      </c>
      <c r="B13" s="5" t="s">
        <v>56</v>
      </c>
      <c r="C13" s="5" t="s">
        <v>58</v>
      </c>
      <c r="D13" s="6">
        <f t="shared" si="0"/>
        <v>457</v>
      </c>
      <c r="E13" s="6">
        <f>13+62+6</f>
        <v>81</v>
      </c>
      <c r="F13" s="6">
        <f>8+119+11</f>
        <v>138</v>
      </c>
      <c r="G13" s="6">
        <f>1+4+26+88+22</f>
        <v>141</v>
      </c>
      <c r="H13" s="6">
        <f>1+18</f>
        <v>19</v>
      </c>
      <c r="I13" s="6">
        <f>1+5+45</f>
        <v>51</v>
      </c>
      <c r="J13" s="6">
        <f>27</f>
        <v>27</v>
      </c>
      <c r="K13" s="6"/>
      <c r="L13" s="6">
        <f>SUM(M13:S13)</f>
        <v>0</v>
      </c>
      <c r="M13" s="6"/>
      <c r="N13" s="6"/>
      <c r="O13" s="6"/>
      <c r="P13" s="6"/>
      <c r="Q13" s="6"/>
      <c r="R13" s="6"/>
      <c r="S13" s="6"/>
      <c r="T13" s="6"/>
    </row>
    <row r="14" spans="1:20" ht="106.5" customHeight="1" x14ac:dyDescent="0.25">
      <c r="A14" s="6">
        <v>4</v>
      </c>
      <c r="B14" s="5" t="s">
        <v>57</v>
      </c>
      <c r="C14" s="5" t="s">
        <v>60</v>
      </c>
      <c r="D14" s="6">
        <f t="shared" si="0"/>
        <v>0</v>
      </c>
      <c r="E14" s="6"/>
      <c r="F14" s="6"/>
      <c r="G14" s="6"/>
      <c r="H14" s="6"/>
      <c r="I14" s="6"/>
      <c r="J14" s="6"/>
      <c r="K14" s="6"/>
      <c r="L14" s="6">
        <f>SUM(M14:S14)</f>
        <v>71</v>
      </c>
      <c r="M14" s="6">
        <f>5+3+9+1</f>
        <v>18</v>
      </c>
      <c r="N14" s="6">
        <f>1+3+3+2+4</f>
        <v>13</v>
      </c>
      <c r="O14" s="6">
        <f>5+4+6+1+1</f>
        <v>17</v>
      </c>
      <c r="P14" s="6">
        <f>1+2+4+5</f>
        <v>12</v>
      </c>
      <c r="Q14" s="6">
        <f>1+1+3+1</f>
        <v>6</v>
      </c>
      <c r="R14" s="6">
        <f>2+2+1</f>
        <v>5</v>
      </c>
      <c r="S14" s="6"/>
      <c r="T14" s="18" t="s">
        <v>61</v>
      </c>
    </row>
    <row r="15" spans="1:20" ht="115.5" x14ac:dyDescent="0.25">
      <c r="A15" s="6">
        <v>5</v>
      </c>
      <c r="B15" s="5" t="s">
        <v>62</v>
      </c>
      <c r="C15" s="5" t="s">
        <v>63</v>
      </c>
      <c r="D15" s="6">
        <f t="shared" si="0"/>
        <v>22</v>
      </c>
      <c r="E15" s="6">
        <v>12</v>
      </c>
      <c r="F15" s="6">
        <v>9</v>
      </c>
      <c r="G15" s="6"/>
      <c r="H15" s="6">
        <f>1</f>
        <v>1</v>
      </c>
      <c r="I15" s="6"/>
      <c r="J15" s="6"/>
      <c r="K15" s="6"/>
      <c r="L15" s="6">
        <f>SUM(M15:S15)</f>
        <v>0</v>
      </c>
      <c r="M15" s="6"/>
      <c r="N15" s="6"/>
      <c r="O15" s="6"/>
      <c r="P15" s="6"/>
      <c r="Q15" s="6"/>
      <c r="R15" s="6"/>
      <c r="S15" s="6"/>
      <c r="T15" s="6"/>
    </row>
    <row r="16" spans="1:20" s="7" customFormat="1" x14ac:dyDescent="0.25">
      <c r="A16" s="29" t="s">
        <v>14</v>
      </c>
      <c r="B16" s="29"/>
      <c r="C16" s="14" t="str">
        <f>"Tổng năm 2017: "&amp;(D16+L16)</f>
        <v>Tổng năm 2017: 627</v>
      </c>
      <c r="D16" s="2">
        <f t="shared" ref="D16:S16" si="1">SUM(D11:D15)</f>
        <v>524</v>
      </c>
      <c r="E16" s="2">
        <f t="shared" si="1"/>
        <v>107</v>
      </c>
      <c r="F16" s="6">
        <f t="shared" si="1"/>
        <v>153</v>
      </c>
      <c r="G16" s="6">
        <f t="shared" si="1"/>
        <v>156</v>
      </c>
      <c r="H16" s="6">
        <f t="shared" si="1"/>
        <v>20</v>
      </c>
      <c r="I16" s="6">
        <f t="shared" si="1"/>
        <v>59</v>
      </c>
      <c r="J16" s="6">
        <f t="shared" si="1"/>
        <v>29</v>
      </c>
      <c r="K16" s="6">
        <f t="shared" si="1"/>
        <v>0</v>
      </c>
      <c r="L16" s="2">
        <f t="shared" si="1"/>
        <v>103</v>
      </c>
      <c r="M16" s="6">
        <f t="shared" si="1"/>
        <v>28</v>
      </c>
      <c r="N16" s="6">
        <f t="shared" si="1"/>
        <v>23</v>
      </c>
      <c r="O16" s="6">
        <f t="shared" si="1"/>
        <v>21</v>
      </c>
      <c r="P16" s="6">
        <f t="shared" si="1"/>
        <v>13</v>
      </c>
      <c r="Q16" s="6">
        <f t="shared" si="1"/>
        <v>11</v>
      </c>
      <c r="R16" s="6">
        <f t="shared" si="1"/>
        <v>7</v>
      </c>
      <c r="S16" s="6">
        <f t="shared" si="1"/>
        <v>0</v>
      </c>
      <c r="T16" s="2"/>
    </row>
    <row r="17" spans="5:15" x14ac:dyDescent="0.25">
      <c r="E17" s="1">
        <f>E16+M16</f>
        <v>135</v>
      </c>
      <c r="F17" s="1">
        <f t="shared" ref="F17:K17" si="2">F16+N16</f>
        <v>176</v>
      </c>
      <c r="G17" s="1">
        <f t="shared" si="2"/>
        <v>177</v>
      </c>
      <c r="H17" s="1">
        <f t="shared" si="2"/>
        <v>33</v>
      </c>
      <c r="I17" s="1">
        <f t="shared" si="2"/>
        <v>70</v>
      </c>
      <c r="J17" s="1">
        <f t="shared" si="2"/>
        <v>36</v>
      </c>
      <c r="K17" s="1">
        <f t="shared" si="2"/>
        <v>0</v>
      </c>
    </row>
    <row r="18" spans="5:15" x14ac:dyDescent="0.25">
      <c r="O18" s="10" t="s">
        <v>34</v>
      </c>
    </row>
  </sheetData>
  <mergeCells count="9">
    <mergeCell ref="A16:B16"/>
    <mergeCell ref="A6:T6"/>
    <mergeCell ref="A8:A10"/>
    <mergeCell ref="B8:B10"/>
    <mergeCell ref="C8:C10"/>
    <mergeCell ref="D8:S8"/>
    <mergeCell ref="T8:T10"/>
    <mergeCell ref="D9:K9"/>
    <mergeCell ref="L9:S9"/>
  </mergeCells>
  <pageMargins left="0.42" right="0.47" top="0.39" bottom="0.46" header="0.17" footer="0.17"/>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T22"/>
  <sheetViews>
    <sheetView topLeftCell="A2" workbookViewId="0">
      <pane xSplit="3" ySplit="9" topLeftCell="H17" activePane="bottomRight" state="frozen"/>
      <selection activeCell="A2" sqref="A2"/>
      <selection pane="topRight" activeCell="D2" sqref="D2"/>
      <selection pane="bottomLeft" activeCell="A10" sqref="A10"/>
      <selection pane="bottomRight" activeCell="R20" sqref="R20:S20"/>
    </sheetView>
  </sheetViews>
  <sheetFormatPr defaultRowHeight="16.5" x14ac:dyDescent="0.25"/>
  <cols>
    <col min="1" max="1" width="3.85546875" style="1" customWidth="1"/>
    <col min="2" max="2" width="13" style="1" customWidth="1"/>
    <col min="3" max="3" width="31" style="1" customWidth="1"/>
    <col min="4" max="19" width="5" style="1" customWidth="1"/>
    <col min="20" max="16384" width="9.140625" style="1"/>
  </cols>
  <sheetData>
    <row r="2" spans="1:20" x14ac:dyDescent="0.25">
      <c r="C2" s="4" t="s">
        <v>28</v>
      </c>
      <c r="M2" s="10" t="s">
        <v>31</v>
      </c>
    </row>
    <row r="3" spans="1:20" x14ac:dyDescent="0.25">
      <c r="C3" s="4" t="s">
        <v>29</v>
      </c>
      <c r="M3" s="10" t="s">
        <v>32</v>
      </c>
    </row>
    <row r="4" spans="1:20" x14ac:dyDescent="0.25">
      <c r="C4" s="10" t="s">
        <v>30</v>
      </c>
    </row>
    <row r="5" spans="1:20" x14ac:dyDescent="0.25">
      <c r="C5" s="10"/>
      <c r="M5" s="11" t="s">
        <v>36</v>
      </c>
    </row>
    <row r="6" spans="1:20" ht="29.25" customHeight="1" x14ac:dyDescent="0.3">
      <c r="A6" s="30" t="s">
        <v>33</v>
      </c>
      <c r="B6" s="30"/>
      <c r="C6" s="30"/>
      <c r="D6" s="30"/>
      <c r="E6" s="30"/>
      <c r="F6" s="30"/>
      <c r="G6" s="30"/>
      <c r="H6" s="30"/>
      <c r="I6" s="30"/>
      <c r="J6" s="30"/>
      <c r="K6" s="30"/>
      <c r="L6" s="30"/>
      <c r="M6" s="30"/>
      <c r="N6" s="30"/>
      <c r="O6" s="30"/>
      <c r="P6" s="30"/>
      <c r="Q6" s="30"/>
      <c r="R6" s="30"/>
      <c r="S6" s="30"/>
      <c r="T6" s="30"/>
    </row>
    <row r="7" spans="1:20" ht="8.25" customHeight="1" x14ac:dyDescent="0.25"/>
    <row r="8" spans="1:20" x14ac:dyDescent="0.25">
      <c r="A8" s="31" t="s">
        <v>0</v>
      </c>
      <c r="B8" s="31" t="s">
        <v>1</v>
      </c>
      <c r="C8" s="31" t="s">
        <v>2</v>
      </c>
      <c r="D8" s="34" t="s">
        <v>3</v>
      </c>
      <c r="E8" s="34"/>
      <c r="F8" s="34"/>
      <c r="G8" s="34"/>
      <c r="H8" s="34"/>
      <c r="I8" s="34"/>
      <c r="J8" s="34"/>
      <c r="K8" s="34"/>
      <c r="L8" s="34"/>
      <c r="M8" s="34"/>
      <c r="N8" s="34"/>
      <c r="O8" s="34"/>
      <c r="P8" s="34"/>
      <c r="Q8" s="34"/>
      <c r="R8" s="34"/>
      <c r="S8" s="34"/>
      <c r="T8" s="34" t="s">
        <v>15</v>
      </c>
    </row>
    <row r="9" spans="1:20" ht="16.5" customHeight="1" x14ac:dyDescent="0.25">
      <c r="A9" s="32"/>
      <c r="B9" s="32"/>
      <c r="C9" s="32"/>
      <c r="D9" s="35" t="s">
        <v>4</v>
      </c>
      <c r="E9" s="36"/>
      <c r="F9" s="36"/>
      <c r="G9" s="36"/>
      <c r="H9" s="36"/>
      <c r="I9" s="36"/>
      <c r="J9" s="36"/>
      <c r="K9" s="36"/>
      <c r="L9" s="35" t="s">
        <v>5</v>
      </c>
      <c r="M9" s="36"/>
      <c r="N9" s="36"/>
      <c r="O9" s="36"/>
      <c r="P9" s="36"/>
      <c r="Q9" s="36"/>
      <c r="R9" s="36"/>
      <c r="S9" s="36"/>
      <c r="T9" s="34"/>
    </row>
    <row r="10" spans="1:20" ht="25.5" x14ac:dyDescent="0.25">
      <c r="A10" s="33"/>
      <c r="B10" s="33"/>
      <c r="C10" s="33"/>
      <c r="D10" s="9" t="s">
        <v>14</v>
      </c>
      <c r="E10" s="9" t="s">
        <v>6</v>
      </c>
      <c r="F10" s="9" t="s">
        <v>7</v>
      </c>
      <c r="G10" s="9" t="s">
        <v>8</v>
      </c>
      <c r="H10" s="9" t="s">
        <v>9</v>
      </c>
      <c r="I10" s="9" t="s">
        <v>10</v>
      </c>
      <c r="J10" s="9" t="s">
        <v>11</v>
      </c>
      <c r="K10" s="9" t="s">
        <v>20</v>
      </c>
      <c r="L10" s="9" t="s">
        <v>14</v>
      </c>
      <c r="M10" s="9" t="s">
        <v>6</v>
      </c>
      <c r="N10" s="9" t="s">
        <v>7</v>
      </c>
      <c r="O10" s="9" t="s">
        <v>8</v>
      </c>
      <c r="P10" s="9" t="s">
        <v>9</v>
      </c>
      <c r="Q10" s="9" t="s">
        <v>10</v>
      </c>
      <c r="R10" s="9" t="s">
        <v>11</v>
      </c>
      <c r="S10" s="9" t="s">
        <v>20</v>
      </c>
      <c r="T10" s="34"/>
    </row>
    <row r="11" spans="1:20" ht="99" x14ac:dyDescent="0.25">
      <c r="A11" s="6">
        <v>1</v>
      </c>
      <c r="B11" s="19" t="s">
        <v>16</v>
      </c>
      <c r="C11" s="5" t="s">
        <v>41</v>
      </c>
      <c r="D11" s="6">
        <f t="shared" ref="D11:D19" si="0">SUM(E11:K11)</f>
        <v>0</v>
      </c>
      <c r="E11" s="6"/>
      <c r="F11" s="6"/>
      <c r="G11" s="6"/>
      <c r="H11" s="6"/>
      <c r="I11" s="6"/>
      <c r="J11" s="6"/>
      <c r="K11" s="6"/>
      <c r="L11" s="6">
        <f>SUM(M11:S11)</f>
        <v>30</v>
      </c>
      <c r="M11" s="6">
        <v>5</v>
      </c>
      <c r="N11" s="6">
        <v>3</v>
      </c>
      <c r="O11" s="6">
        <v>7</v>
      </c>
      <c r="P11" s="6">
        <v>9</v>
      </c>
      <c r="Q11" s="6">
        <v>5</v>
      </c>
      <c r="R11" s="6">
        <v>1</v>
      </c>
      <c r="S11" s="6">
        <v>0</v>
      </c>
      <c r="T11" s="6"/>
    </row>
    <row r="12" spans="1:20" ht="99" x14ac:dyDescent="0.25">
      <c r="A12" s="6">
        <v>2</v>
      </c>
      <c r="B12" s="5" t="s">
        <v>17</v>
      </c>
      <c r="C12" s="15" t="s">
        <v>40</v>
      </c>
      <c r="D12" s="6">
        <f t="shared" si="0"/>
        <v>57</v>
      </c>
      <c r="E12" s="6">
        <v>15</v>
      </c>
      <c r="F12" s="6">
        <v>4</v>
      </c>
      <c r="G12" s="6">
        <v>18</v>
      </c>
      <c r="H12" s="6">
        <v>8</v>
      </c>
      <c r="I12" s="6">
        <v>6</v>
      </c>
      <c r="J12" s="6">
        <v>6</v>
      </c>
      <c r="K12" s="6">
        <v>0</v>
      </c>
      <c r="L12" s="6"/>
      <c r="M12" s="6"/>
      <c r="N12" s="6"/>
      <c r="O12" s="6"/>
      <c r="P12" s="6"/>
      <c r="Q12" s="6"/>
      <c r="R12" s="6"/>
      <c r="S12" s="6"/>
      <c r="T12" s="6"/>
    </row>
    <row r="13" spans="1:20" ht="99" x14ac:dyDescent="0.25">
      <c r="A13" s="6">
        <v>3</v>
      </c>
      <c r="B13" s="19" t="s">
        <v>18</v>
      </c>
      <c r="C13" s="5" t="s">
        <v>39</v>
      </c>
      <c r="D13" s="6">
        <f>SUM(E13:K13)</f>
        <v>0</v>
      </c>
      <c r="E13" s="6"/>
      <c r="F13" s="6"/>
      <c r="G13" s="6"/>
      <c r="H13" s="6"/>
      <c r="I13" s="6"/>
      <c r="J13" s="6"/>
      <c r="K13" s="6"/>
      <c r="L13" s="6">
        <f>SUM(M13:S13)</f>
        <v>45</v>
      </c>
      <c r="M13" s="6">
        <v>1</v>
      </c>
      <c r="N13" s="6">
        <v>5</v>
      </c>
      <c r="O13" s="6">
        <v>9</v>
      </c>
      <c r="P13" s="6">
        <v>3</v>
      </c>
      <c r="Q13" s="6">
        <v>13</v>
      </c>
      <c r="R13" s="6">
        <v>2</v>
      </c>
      <c r="S13" s="6">
        <v>12</v>
      </c>
      <c r="T13" s="6"/>
    </row>
    <row r="14" spans="1:20" ht="115.5" x14ac:dyDescent="0.25">
      <c r="A14" s="6">
        <v>4</v>
      </c>
      <c r="B14" s="5" t="s">
        <v>21</v>
      </c>
      <c r="C14" s="15" t="s">
        <v>42</v>
      </c>
      <c r="D14" s="6">
        <f t="shared" si="0"/>
        <v>749</v>
      </c>
      <c r="E14" s="6">
        <f>11+152</f>
        <v>163</v>
      </c>
      <c r="F14" s="6">
        <f>1+13+164+12</f>
        <v>190</v>
      </c>
      <c r="G14" s="6">
        <f>13+13+92+19</f>
        <v>137</v>
      </c>
      <c r="H14" s="6">
        <f>1+1+47</f>
        <v>49</v>
      </c>
      <c r="I14" s="6">
        <f>3+8+89</f>
        <v>100</v>
      </c>
      <c r="J14" s="6">
        <v>110</v>
      </c>
      <c r="K14" s="6"/>
      <c r="L14" s="6"/>
      <c r="M14" s="6"/>
      <c r="N14" s="6"/>
      <c r="O14" s="6"/>
      <c r="P14" s="6"/>
      <c r="Q14" s="6"/>
      <c r="R14" s="6"/>
      <c r="S14" s="6"/>
      <c r="T14" s="6"/>
    </row>
    <row r="15" spans="1:20" ht="89.25" customHeight="1" x14ac:dyDescent="0.25">
      <c r="A15" s="6">
        <v>5</v>
      </c>
      <c r="B15" s="5" t="s">
        <v>19</v>
      </c>
      <c r="C15" s="15" t="s">
        <v>43</v>
      </c>
      <c r="D15" s="6">
        <f t="shared" si="0"/>
        <v>23</v>
      </c>
      <c r="E15" s="6">
        <v>0</v>
      </c>
      <c r="F15" s="6">
        <v>12</v>
      </c>
      <c r="G15" s="6">
        <v>0</v>
      </c>
      <c r="H15" s="6">
        <v>0</v>
      </c>
      <c r="I15" s="6">
        <v>0</v>
      </c>
      <c r="J15" s="6">
        <v>0</v>
      </c>
      <c r="K15" s="6">
        <v>11</v>
      </c>
      <c r="L15" s="6">
        <f>SUM(M15:S15)</f>
        <v>0</v>
      </c>
      <c r="M15" s="6"/>
      <c r="N15" s="6"/>
      <c r="O15" s="6"/>
      <c r="P15" s="6"/>
      <c r="Q15" s="6"/>
      <c r="R15" s="6"/>
      <c r="S15" s="6"/>
      <c r="T15" s="6"/>
    </row>
    <row r="16" spans="1:20" ht="152.25" customHeight="1" x14ac:dyDescent="0.25">
      <c r="A16" s="6">
        <v>6</v>
      </c>
      <c r="B16" s="19" t="s">
        <v>22</v>
      </c>
      <c r="C16" s="5" t="s">
        <v>44</v>
      </c>
      <c r="D16" s="6">
        <f t="shared" si="0"/>
        <v>0</v>
      </c>
      <c r="E16" s="6"/>
      <c r="F16" s="6"/>
      <c r="G16" s="6"/>
      <c r="H16" s="6"/>
      <c r="I16" s="6"/>
      <c r="J16" s="6"/>
      <c r="K16" s="6"/>
      <c r="L16" s="6">
        <f>SUM(M16:S16)</f>
        <v>43</v>
      </c>
      <c r="M16" s="6">
        <f>2</f>
        <v>2</v>
      </c>
      <c r="N16" s="6">
        <f>2+7+2+3</f>
        <v>14</v>
      </c>
      <c r="O16" s="6">
        <f>6+2+1+4+5</f>
        <v>18</v>
      </c>
      <c r="P16" s="6">
        <f>1+1</f>
        <v>2</v>
      </c>
      <c r="Q16" s="6">
        <f>3+2+1+1</f>
        <v>7</v>
      </c>
      <c r="R16" s="6"/>
      <c r="S16" s="6"/>
      <c r="T16" s="6"/>
    </row>
    <row r="17" spans="1:20" ht="132" x14ac:dyDescent="0.25">
      <c r="A17" s="6">
        <v>7</v>
      </c>
      <c r="B17" s="19" t="s">
        <v>23</v>
      </c>
      <c r="C17" s="5" t="s">
        <v>45</v>
      </c>
      <c r="D17" s="6">
        <f t="shared" si="0"/>
        <v>0</v>
      </c>
      <c r="E17" s="6"/>
      <c r="F17" s="6"/>
      <c r="G17" s="6"/>
      <c r="H17" s="6"/>
      <c r="I17" s="6"/>
      <c r="J17" s="6"/>
      <c r="K17" s="6"/>
      <c r="L17" s="6">
        <f>SUM(M17:S17)</f>
        <v>2</v>
      </c>
      <c r="M17" s="6">
        <v>1</v>
      </c>
      <c r="N17" s="6"/>
      <c r="O17" s="6">
        <v>1</v>
      </c>
      <c r="P17" s="6"/>
      <c r="Q17" s="6"/>
      <c r="R17" s="6"/>
      <c r="S17" s="6"/>
      <c r="T17" s="6"/>
    </row>
    <row r="18" spans="1:20" ht="115.5" x14ac:dyDescent="0.25">
      <c r="A18" s="6">
        <v>8</v>
      </c>
      <c r="B18" s="5" t="s">
        <v>24</v>
      </c>
      <c r="C18" s="15" t="s">
        <v>46</v>
      </c>
      <c r="D18" s="6">
        <f t="shared" si="0"/>
        <v>146</v>
      </c>
      <c r="E18" s="6">
        <f>12+48</f>
        <v>60</v>
      </c>
      <c r="F18" s="6">
        <v>11</v>
      </c>
      <c r="G18" s="6">
        <f>1+32</f>
        <v>33</v>
      </c>
      <c r="H18" s="6">
        <f>10</f>
        <v>10</v>
      </c>
      <c r="I18" s="6"/>
      <c r="J18" s="6">
        <f>1+31</f>
        <v>32</v>
      </c>
      <c r="K18" s="6"/>
      <c r="L18" s="6">
        <f>SUM(M18:S18)</f>
        <v>0</v>
      </c>
      <c r="M18" s="6"/>
      <c r="N18" s="6"/>
      <c r="O18" s="6"/>
      <c r="P18" s="6"/>
      <c r="Q18" s="6"/>
      <c r="R18" s="6"/>
      <c r="S18" s="6"/>
      <c r="T18" s="6"/>
    </row>
    <row r="19" spans="1:20" ht="103.5" customHeight="1" x14ac:dyDescent="0.25">
      <c r="A19" s="6">
        <v>9</v>
      </c>
      <c r="B19" s="19" t="s">
        <v>25</v>
      </c>
      <c r="C19" s="5" t="s">
        <v>47</v>
      </c>
      <c r="D19" s="6">
        <f t="shared" si="0"/>
        <v>0</v>
      </c>
      <c r="E19" s="6"/>
      <c r="F19" s="6"/>
      <c r="G19" s="6"/>
      <c r="H19" s="6"/>
      <c r="I19" s="6"/>
      <c r="J19" s="6"/>
      <c r="K19" s="6"/>
      <c r="L19" s="6">
        <f>SUM(M19:S19)</f>
        <v>15</v>
      </c>
      <c r="M19" s="6"/>
      <c r="N19" s="6"/>
      <c r="O19" s="6">
        <v>6</v>
      </c>
      <c r="P19" s="6"/>
      <c r="Q19" s="6">
        <v>9</v>
      </c>
      <c r="R19" s="6"/>
      <c r="S19" s="6"/>
      <c r="T19" s="6"/>
    </row>
    <row r="20" spans="1:20" s="7" customFormat="1" x14ac:dyDescent="0.25">
      <c r="A20" s="29" t="s">
        <v>14</v>
      </c>
      <c r="B20" s="29"/>
      <c r="C20" s="8" t="str">
        <f>"Cả năm 2018: "&amp;(D20+L20)</f>
        <v>Cả năm 2018: 1110</v>
      </c>
      <c r="D20" s="2">
        <f>SUM(D11:D19)</f>
        <v>975</v>
      </c>
      <c r="E20" s="2">
        <f t="shared" ref="E20:S20" si="1">SUM(E11:E19)</f>
        <v>238</v>
      </c>
      <c r="F20" s="6">
        <f t="shared" si="1"/>
        <v>217</v>
      </c>
      <c r="G20" s="6">
        <f t="shared" si="1"/>
        <v>188</v>
      </c>
      <c r="H20" s="6">
        <f t="shared" si="1"/>
        <v>67</v>
      </c>
      <c r="I20" s="6">
        <f t="shared" si="1"/>
        <v>106</v>
      </c>
      <c r="J20" s="6">
        <f t="shared" si="1"/>
        <v>148</v>
      </c>
      <c r="K20" s="6">
        <f t="shared" si="1"/>
        <v>11</v>
      </c>
      <c r="L20" s="2">
        <f t="shared" si="1"/>
        <v>135</v>
      </c>
      <c r="M20" s="6">
        <f t="shared" si="1"/>
        <v>9</v>
      </c>
      <c r="N20" s="6">
        <f t="shared" si="1"/>
        <v>22</v>
      </c>
      <c r="O20" s="6">
        <f t="shared" si="1"/>
        <v>41</v>
      </c>
      <c r="P20" s="6">
        <f t="shared" si="1"/>
        <v>14</v>
      </c>
      <c r="Q20" s="6">
        <f t="shared" si="1"/>
        <v>34</v>
      </c>
      <c r="R20" s="6">
        <f t="shared" si="1"/>
        <v>3</v>
      </c>
      <c r="S20" s="6">
        <f t="shared" si="1"/>
        <v>12</v>
      </c>
      <c r="T20" s="2"/>
    </row>
    <row r="21" spans="1:20" x14ac:dyDescent="0.25">
      <c r="E21" s="1">
        <f>E20+M20</f>
        <v>247</v>
      </c>
      <c r="F21" s="1">
        <f t="shared" ref="F21:K21" si="2">F20+N20</f>
        <v>239</v>
      </c>
      <c r="G21" s="1">
        <f t="shared" si="2"/>
        <v>229</v>
      </c>
      <c r="H21" s="1">
        <f t="shared" si="2"/>
        <v>81</v>
      </c>
      <c r="I21" s="1">
        <f t="shared" si="2"/>
        <v>140</v>
      </c>
      <c r="J21" s="1">
        <f t="shared" si="2"/>
        <v>151</v>
      </c>
      <c r="K21" s="1">
        <f t="shared" si="2"/>
        <v>23</v>
      </c>
    </row>
    <row r="22" spans="1:20" x14ac:dyDescent="0.25">
      <c r="O22" s="10" t="s">
        <v>34</v>
      </c>
    </row>
  </sheetData>
  <mergeCells count="9">
    <mergeCell ref="A20:B20"/>
    <mergeCell ref="A6:T6"/>
    <mergeCell ref="A8:A10"/>
    <mergeCell ref="B8:B10"/>
    <mergeCell ref="C8:C10"/>
    <mergeCell ref="D8:S8"/>
    <mergeCell ref="T8:T10"/>
    <mergeCell ref="D9:K9"/>
    <mergeCell ref="L9:S9"/>
  </mergeCells>
  <pageMargins left="0.42" right="0.47" top="0.39" bottom="0.46" header="0.17" footer="0.17"/>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W21"/>
  <sheetViews>
    <sheetView topLeftCell="A2" workbookViewId="0">
      <pane xSplit="3" ySplit="9" topLeftCell="H18" activePane="bottomRight" state="frozen"/>
      <selection activeCell="A2" sqref="A2"/>
      <selection pane="topRight" activeCell="D2" sqref="D2"/>
      <selection pane="bottomLeft" activeCell="A10" sqref="A10"/>
      <selection pane="bottomRight" activeCell="K23" sqref="K23"/>
    </sheetView>
  </sheetViews>
  <sheetFormatPr defaultRowHeight="16.5" x14ac:dyDescent="0.25"/>
  <cols>
    <col min="1" max="1" width="3.85546875" style="1" customWidth="1"/>
    <col min="2" max="2" width="13" style="1" customWidth="1"/>
    <col min="3" max="3" width="31" style="1" customWidth="1"/>
    <col min="4" max="4" width="7.140625" style="1" customWidth="1"/>
    <col min="5" max="21" width="5" style="1" customWidth="1"/>
    <col min="22" max="16384" width="9.140625" style="1"/>
  </cols>
  <sheetData>
    <row r="2" spans="1:22" x14ac:dyDescent="0.25">
      <c r="C2" s="4" t="s">
        <v>28</v>
      </c>
      <c r="N2" s="10" t="s">
        <v>31</v>
      </c>
    </row>
    <row r="3" spans="1:22" x14ac:dyDescent="0.25">
      <c r="C3" s="4" t="s">
        <v>29</v>
      </c>
      <c r="N3" s="10" t="s">
        <v>32</v>
      </c>
    </row>
    <row r="4" spans="1:22" x14ac:dyDescent="0.25">
      <c r="C4" s="10" t="s">
        <v>30</v>
      </c>
    </row>
    <row r="5" spans="1:22" x14ac:dyDescent="0.25">
      <c r="C5" s="10"/>
      <c r="N5" s="11" t="s">
        <v>52</v>
      </c>
    </row>
    <row r="6" spans="1:22" ht="29.25" customHeight="1" x14ac:dyDescent="0.3">
      <c r="A6" s="30" t="s">
        <v>67</v>
      </c>
      <c r="B6" s="30"/>
      <c r="C6" s="30"/>
      <c r="D6" s="30"/>
      <c r="E6" s="30"/>
      <c r="F6" s="30"/>
      <c r="G6" s="30"/>
      <c r="H6" s="30"/>
      <c r="I6" s="30"/>
      <c r="J6" s="30"/>
      <c r="K6" s="30"/>
      <c r="L6" s="30"/>
      <c r="M6" s="30"/>
      <c r="N6" s="30"/>
      <c r="O6" s="30"/>
      <c r="P6" s="30"/>
      <c r="Q6" s="30"/>
      <c r="R6" s="30"/>
      <c r="S6" s="30"/>
      <c r="T6" s="30"/>
      <c r="U6" s="30"/>
      <c r="V6" s="30"/>
    </row>
    <row r="7" spans="1:22" ht="8.25" customHeight="1" x14ac:dyDescent="0.25"/>
    <row r="8" spans="1:22" x14ac:dyDescent="0.25">
      <c r="A8" s="31" t="s">
        <v>0</v>
      </c>
      <c r="B8" s="31" t="s">
        <v>1</v>
      </c>
      <c r="C8" s="31" t="s">
        <v>2</v>
      </c>
      <c r="D8" s="34" t="s">
        <v>3</v>
      </c>
      <c r="E8" s="34"/>
      <c r="F8" s="34"/>
      <c r="G8" s="34"/>
      <c r="H8" s="34"/>
      <c r="I8" s="34"/>
      <c r="J8" s="34"/>
      <c r="K8" s="34"/>
      <c r="L8" s="34"/>
      <c r="M8" s="34"/>
      <c r="N8" s="34"/>
      <c r="O8" s="34"/>
      <c r="P8" s="34"/>
      <c r="Q8" s="34"/>
      <c r="R8" s="34"/>
      <c r="S8" s="34"/>
      <c r="T8" s="34"/>
      <c r="U8" s="16"/>
      <c r="V8" s="34" t="s">
        <v>15</v>
      </c>
    </row>
    <row r="9" spans="1:22" ht="16.5" customHeight="1" x14ac:dyDescent="0.25">
      <c r="A9" s="32"/>
      <c r="B9" s="32"/>
      <c r="C9" s="32"/>
      <c r="D9" s="35" t="s">
        <v>4</v>
      </c>
      <c r="E9" s="36"/>
      <c r="F9" s="36"/>
      <c r="G9" s="36"/>
      <c r="H9" s="36"/>
      <c r="I9" s="36"/>
      <c r="J9" s="36"/>
      <c r="K9" s="36"/>
      <c r="L9" s="36"/>
      <c r="M9" s="35" t="s">
        <v>5</v>
      </c>
      <c r="N9" s="36"/>
      <c r="O9" s="36"/>
      <c r="P9" s="36"/>
      <c r="Q9" s="36"/>
      <c r="R9" s="36"/>
      <c r="S9" s="36"/>
      <c r="T9" s="36"/>
      <c r="U9" s="17"/>
      <c r="V9" s="34"/>
    </row>
    <row r="10" spans="1:22" ht="25.5" x14ac:dyDescent="0.25">
      <c r="A10" s="33"/>
      <c r="B10" s="33"/>
      <c r="C10" s="33"/>
      <c r="D10" s="9" t="s">
        <v>14</v>
      </c>
      <c r="E10" s="9" t="s">
        <v>6</v>
      </c>
      <c r="F10" s="9" t="s">
        <v>7</v>
      </c>
      <c r="G10" s="9" t="s">
        <v>8</v>
      </c>
      <c r="H10" s="9" t="s">
        <v>9</v>
      </c>
      <c r="I10" s="9" t="s">
        <v>10</v>
      </c>
      <c r="J10" s="9" t="s">
        <v>11</v>
      </c>
      <c r="K10" s="9" t="s">
        <v>20</v>
      </c>
      <c r="L10" s="9" t="s">
        <v>13</v>
      </c>
      <c r="M10" s="9" t="s">
        <v>14</v>
      </c>
      <c r="N10" s="9" t="s">
        <v>6</v>
      </c>
      <c r="O10" s="9" t="s">
        <v>7</v>
      </c>
      <c r="P10" s="9" t="s">
        <v>8</v>
      </c>
      <c r="Q10" s="9" t="s">
        <v>9</v>
      </c>
      <c r="R10" s="9" t="s">
        <v>10</v>
      </c>
      <c r="S10" s="9" t="s">
        <v>11</v>
      </c>
      <c r="T10" s="9" t="s">
        <v>20</v>
      </c>
      <c r="U10" s="9" t="s">
        <v>13</v>
      </c>
      <c r="V10" s="34"/>
    </row>
    <row r="11" spans="1:22" ht="99" x14ac:dyDescent="0.25">
      <c r="A11" s="6">
        <v>1</v>
      </c>
      <c r="B11" s="5" t="s">
        <v>66</v>
      </c>
      <c r="C11" s="5" t="s">
        <v>68</v>
      </c>
      <c r="D11" s="6">
        <f t="shared" ref="D11:D18" si="0">SUM(E11:L11)</f>
        <v>154</v>
      </c>
      <c r="E11" s="6">
        <f>3+37</f>
        <v>40</v>
      </c>
      <c r="F11" s="6">
        <f>6+16+3</f>
        <v>25</v>
      </c>
      <c r="G11" s="6">
        <f>4+59</f>
        <v>63</v>
      </c>
      <c r="H11" s="6">
        <f>1+3</f>
        <v>4</v>
      </c>
      <c r="I11" s="6">
        <f>1+1+20</f>
        <v>22</v>
      </c>
      <c r="J11" s="6"/>
      <c r="K11" s="6"/>
      <c r="L11" s="6"/>
      <c r="M11" s="6">
        <f>SUM(N11:T11)</f>
        <v>0</v>
      </c>
      <c r="N11" s="6"/>
      <c r="O11" s="6"/>
      <c r="P11" s="6"/>
      <c r="Q11" s="6"/>
      <c r="R11" s="6"/>
      <c r="S11" s="6"/>
      <c r="T11" s="6"/>
      <c r="U11" s="6"/>
      <c r="V11" s="6"/>
    </row>
    <row r="12" spans="1:22" ht="148.5" x14ac:dyDescent="0.25">
      <c r="A12" s="6">
        <v>2</v>
      </c>
      <c r="B12" s="5" t="s">
        <v>69</v>
      </c>
      <c r="C12" s="5" t="s">
        <v>70</v>
      </c>
      <c r="D12" s="6">
        <f t="shared" si="0"/>
        <v>0</v>
      </c>
      <c r="E12" s="6"/>
      <c r="F12" s="6"/>
      <c r="G12" s="6"/>
      <c r="H12" s="6"/>
      <c r="I12" s="6"/>
      <c r="J12" s="6"/>
      <c r="K12" s="6"/>
      <c r="L12" s="6"/>
      <c r="M12" s="6">
        <f t="shared" ref="M12:M18" si="1">SUM(N12:T12)</f>
        <v>31</v>
      </c>
      <c r="N12" s="6">
        <f>1</f>
        <v>1</v>
      </c>
      <c r="O12" s="6">
        <f>3+6+10</f>
        <v>19</v>
      </c>
      <c r="P12" s="6">
        <f>5</f>
        <v>5</v>
      </c>
      <c r="Q12" s="6">
        <f>3</f>
        <v>3</v>
      </c>
      <c r="R12" s="6">
        <f>1+2</f>
        <v>3</v>
      </c>
      <c r="S12" s="6"/>
      <c r="T12" s="6"/>
      <c r="U12" s="6"/>
      <c r="V12" s="18" t="s">
        <v>61</v>
      </c>
    </row>
    <row r="13" spans="1:22" ht="99" x14ac:dyDescent="0.25">
      <c r="A13" s="6"/>
      <c r="B13" s="5" t="s">
        <v>71</v>
      </c>
      <c r="C13" s="5" t="s">
        <v>72</v>
      </c>
      <c r="D13" s="6">
        <f t="shared" si="0"/>
        <v>0</v>
      </c>
      <c r="E13" s="6"/>
      <c r="F13" s="6"/>
      <c r="G13" s="6"/>
      <c r="H13" s="6"/>
      <c r="I13" s="6"/>
      <c r="J13" s="6"/>
      <c r="K13" s="6"/>
      <c r="L13" s="6"/>
      <c r="M13" s="6">
        <f t="shared" si="1"/>
        <v>1</v>
      </c>
      <c r="N13" s="6"/>
      <c r="O13" s="6"/>
      <c r="P13" s="6">
        <v>1</v>
      </c>
      <c r="Q13" s="6"/>
      <c r="R13" s="6"/>
      <c r="S13" s="6"/>
      <c r="T13" s="6"/>
      <c r="U13" s="6"/>
      <c r="V13" s="18" t="s">
        <v>61</v>
      </c>
    </row>
    <row r="14" spans="1:22" ht="140.25" customHeight="1" x14ac:dyDescent="0.25">
      <c r="A14" s="6"/>
      <c r="B14" s="5" t="s">
        <v>73</v>
      </c>
      <c r="C14" s="5" t="s">
        <v>74</v>
      </c>
      <c r="D14" s="6">
        <f t="shared" si="0"/>
        <v>32</v>
      </c>
      <c r="E14" s="6"/>
      <c r="F14" s="6">
        <f>17</f>
        <v>17</v>
      </c>
      <c r="G14" s="6"/>
      <c r="H14" s="6"/>
      <c r="I14" s="6"/>
      <c r="J14" s="6"/>
      <c r="K14" s="6"/>
      <c r="L14" s="6">
        <f>1+14</f>
        <v>15</v>
      </c>
      <c r="M14" s="6">
        <f t="shared" si="1"/>
        <v>31</v>
      </c>
      <c r="N14" s="6"/>
      <c r="O14" s="6">
        <f>1+2+7</f>
        <v>10</v>
      </c>
      <c r="P14" s="6">
        <f>4+6</f>
        <v>10</v>
      </c>
      <c r="Q14" s="6"/>
      <c r="R14" s="6">
        <f>1+3</f>
        <v>4</v>
      </c>
      <c r="S14" s="6">
        <v>7</v>
      </c>
      <c r="T14" s="6"/>
      <c r="U14" s="6"/>
      <c r="V14" s="18" t="s">
        <v>61</v>
      </c>
    </row>
    <row r="15" spans="1:22" ht="140.25" customHeight="1" x14ac:dyDescent="0.25">
      <c r="A15" s="6"/>
      <c r="B15" s="5" t="s">
        <v>75</v>
      </c>
      <c r="C15" s="5" t="s">
        <v>76</v>
      </c>
      <c r="D15" s="6">
        <f t="shared" si="0"/>
        <v>0</v>
      </c>
      <c r="E15" s="6"/>
      <c r="F15" s="6"/>
      <c r="G15" s="6"/>
      <c r="H15" s="6"/>
      <c r="I15" s="6"/>
      <c r="J15" s="6"/>
      <c r="K15" s="6"/>
      <c r="L15" s="6"/>
      <c r="M15" s="6">
        <f t="shared" si="1"/>
        <v>90</v>
      </c>
      <c r="N15" s="6">
        <f>1+14</f>
        <v>15</v>
      </c>
      <c r="O15" s="6">
        <f>6+7</f>
        <v>13</v>
      </c>
      <c r="P15" s="6">
        <f>7+11</f>
        <v>18</v>
      </c>
      <c r="Q15" s="6">
        <f>3+4</f>
        <v>7</v>
      </c>
      <c r="R15" s="6">
        <f>5+11</f>
        <v>16</v>
      </c>
      <c r="S15" s="6">
        <f>1</f>
        <v>1</v>
      </c>
      <c r="T15" s="6">
        <f>9+11</f>
        <v>20</v>
      </c>
      <c r="U15" s="6"/>
      <c r="V15" s="6"/>
    </row>
    <row r="16" spans="1:22" ht="99" x14ac:dyDescent="0.25">
      <c r="A16" s="6"/>
      <c r="B16" s="5" t="s">
        <v>77</v>
      </c>
      <c r="C16" s="5" t="s">
        <v>78</v>
      </c>
      <c r="D16" s="6">
        <f t="shared" si="0"/>
        <v>859</v>
      </c>
      <c r="E16" s="6">
        <f>1+24+107</f>
        <v>132</v>
      </c>
      <c r="F16" s="6">
        <f>1+6+15+266</f>
        <v>288</v>
      </c>
      <c r="G16" s="6">
        <f>3+2+32+150</f>
        <v>187</v>
      </c>
      <c r="H16" s="6">
        <f>3+7+85</f>
        <v>95</v>
      </c>
      <c r="I16" s="6">
        <f>10+79</f>
        <v>89</v>
      </c>
      <c r="J16" s="6">
        <f>68</f>
        <v>68</v>
      </c>
      <c r="K16" s="6"/>
      <c r="L16" s="6"/>
      <c r="M16" s="6">
        <f t="shared" si="1"/>
        <v>0</v>
      </c>
      <c r="N16" s="6"/>
      <c r="O16" s="6"/>
      <c r="P16" s="6"/>
      <c r="Q16" s="6"/>
      <c r="R16" s="6"/>
      <c r="S16" s="6"/>
      <c r="T16" s="6"/>
      <c r="U16" s="6"/>
      <c r="V16" s="6"/>
    </row>
    <row r="17" spans="1:23" ht="115.5" x14ac:dyDescent="0.25">
      <c r="A17" s="6"/>
      <c r="B17" s="5" t="s">
        <v>79</v>
      </c>
      <c r="C17" s="5" t="s">
        <v>81</v>
      </c>
      <c r="D17" s="6">
        <f t="shared" si="0"/>
        <v>99</v>
      </c>
      <c r="E17" s="6">
        <f>14</f>
        <v>14</v>
      </c>
      <c r="F17" s="6">
        <f>26</f>
        <v>26</v>
      </c>
      <c r="G17" s="6">
        <f>4+27</f>
        <v>31</v>
      </c>
      <c r="H17" s="6">
        <f>1</f>
        <v>1</v>
      </c>
      <c r="I17" s="6">
        <f>2+24</f>
        <v>26</v>
      </c>
      <c r="J17" s="6">
        <f>1</f>
        <v>1</v>
      </c>
      <c r="K17" s="6"/>
      <c r="L17" s="6"/>
      <c r="M17" s="6">
        <f t="shared" si="1"/>
        <v>0</v>
      </c>
      <c r="N17" s="6"/>
      <c r="O17" s="6"/>
      <c r="P17" s="6"/>
      <c r="Q17" s="6"/>
      <c r="R17" s="6"/>
      <c r="S17" s="6"/>
      <c r="T17" s="6"/>
      <c r="U17" s="6"/>
      <c r="V17" s="6"/>
    </row>
    <row r="18" spans="1:23" ht="99" x14ac:dyDescent="0.25">
      <c r="A18" s="6"/>
      <c r="B18" s="5" t="s">
        <v>80</v>
      </c>
      <c r="C18" s="5" t="s">
        <v>82</v>
      </c>
      <c r="D18" s="6">
        <f t="shared" si="0"/>
        <v>1196</v>
      </c>
      <c r="E18" s="6">
        <f>8+39+21+200</f>
        <v>268</v>
      </c>
      <c r="F18" s="6">
        <f>2+375</f>
        <v>377</v>
      </c>
      <c r="G18" s="6">
        <f>1+3+182</f>
        <v>186</v>
      </c>
      <c r="H18" s="6">
        <f>1+22+24+69</f>
        <v>116</v>
      </c>
      <c r="I18" s="6">
        <f>6+8+92</f>
        <v>106</v>
      </c>
      <c r="J18" s="6">
        <f>65</f>
        <v>65</v>
      </c>
      <c r="K18" s="6">
        <v>54</v>
      </c>
      <c r="L18" s="6">
        <v>24</v>
      </c>
      <c r="M18" s="6">
        <f t="shared" si="1"/>
        <v>0</v>
      </c>
      <c r="N18" s="6"/>
      <c r="O18" s="6"/>
      <c r="P18" s="6"/>
      <c r="Q18" s="6"/>
      <c r="R18" s="6"/>
      <c r="S18" s="6"/>
      <c r="T18" s="6"/>
      <c r="U18" s="6"/>
      <c r="V18" s="6"/>
      <c r="W18" s="1">
        <f>1196-D18</f>
        <v>0</v>
      </c>
    </row>
    <row r="19" spans="1:23" s="7" customFormat="1" x14ac:dyDescent="0.25">
      <c r="A19" s="37" t="s">
        <v>14</v>
      </c>
      <c r="B19" s="37"/>
      <c r="C19" s="21" t="str">
        <f>"Cả năm 2019: "&amp;(D19+M19)</f>
        <v>Cả năm 2019: 2493</v>
      </c>
      <c r="D19" s="22">
        <f t="shared" ref="D19:K19" si="2">SUM(D11:D18)</f>
        <v>2340</v>
      </c>
      <c r="E19" s="22">
        <f t="shared" si="2"/>
        <v>454</v>
      </c>
      <c r="F19" s="23">
        <f t="shared" si="2"/>
        <v>733</v>
      </c>
      <c r="G19" s="23">
        <f t="shared" si="2"/>
        <v>467</v>
      </c>
      <c r="H19" s="23">
        <f t="shared" si="2"/>
        <v>216</v>
      </c>
      <c r="I19" s="23">
        <f t="shared" si="2"/>
        <v>243</v>
      </c>
      <c r="J19" s="23">
        <f t="shared" si="2"/>
        <v>134</v>
      </c>
      <c r="K19" s="23">
        <f t="shared" si="2"/>
        <v>54</v>
      </c>
      <c r="L19" s="23">
        <f t="shared" ref="L19:U19" si="3">SUM(L11:L18)</f>
        <v>39</v>
      </c>
      <c r="M19" s="22">
        <f t="shared" si="3"/>
        <v>153</v>
      </c>
      <c r="N19" s="23">
        <f t="shared" si="3"/>
        <v>16</v>
      </c>
      <c r="O19" s="23">
        <f t="shared" si="3"/>
        <v>42</v>
      </c>
      <c r="P19" s="23">
        <f t="shared" si="3"/>
        <v>34</v>
      </c>
      <c r="Q19" s="23">
        <f t="shared" si="3"/>
        <v>10</v>
      </c>
      <c r="R19" s="23">
        <f t="shared" si="3"/>
        <v>23</v>
      </c>
      <c r="S19" s="23">
        <f t="shared" si="3"/>
        <v>8</v>
      </c>
      <c r="T19" s="23">
        <f t="shared" si="3"/>
        <v>20</v>
      </c>
      <c r="U19" s="23">
        <f t="shared" si="3"/>
        <v>0</v>
      </c>
      <c r="V19" s="22"/>
    </row>
    <row r="20" spans="1:23" x14ac:dyDescent="0.25">
      <c r="A20" s="38" t="s">
        <v>83</v>
      </c>
      <c r="B20" s="38"/>
      <c r="C20" s="38"/>
      <c r="D20" s="3"/>
      <c r="E20" s="3">
        <f>E19+N19</f>
        <v>470</v>
      </c>
      <c r="F20" s="3">
        <f>F19+O19</f>
        <v>775</v>
      </c>
      <c r="G20" s="3">
        <f>G19+P19</f>
        <v>501</v>
      </c>
      <c r="H20" s="3">
        <f t="shared" ref="H20:J20" si="4">H19+Q19</f>
        <v>226</v>
      </c>
      <c r="I20" s="3">
        <f t="shared" si="4"/>
        <v>266</v>
      </c>
      <c r="J20" s="3">
        <f t="shared" si="4"/>
        <v>142</v>
      </c>
      <c r="K20" s="3">
        <f t="shared" ref="K20" si="5">K19+T19</f>
        <v>74</v>
      </c>
      <c r="L20" s="3">
        <f t="shared" ref="L20" si="6">L19+U19</f>
        <v>39</v>
      </c>
      <c r="M20" s="3"/>
      <c r="N20" s="3"/>
      <c r="O20" s="3"/>
      <c r="P20" s="3"/>
      <c r="Q20" s="3"/>
      <c r="R20" s="3"/>
      <c r="S20" s="3"/>
      <c r="T20" s="3"/>
      <c r="U20" s="3"/>
      <c r="V20" s="3"/>
    </row>
    <row r="21" spans="1:23" ht="39.75" customHeight="1" x14ac:dyDescent="0.25">
      <c r="P21" s="10" t="s">
        <v>34</v>
      </c>
    </row>
  </sheetData>
  <mergeCells count="10">
    <mergeCell ref="A19:B19"/>
    <mergeCell ref="A20:C20"/>
    <mergeCell ref="A6:V6"/>
    <mergeCell ref="A8:A10"/>
    <mergeCell ref="B8:B10"/>
    <mergeCell ref="C8:C10"/>
    <mergeCell ref="D8:T8"/>
    <mergeCell ref="V8:V10"/>
    <mergeCell ref="D9:L9"/>
    <mergeCell ref="M9:T9"/>
  </mergeCells>
  <pageMargins left="0.42" right="0.47" top="0.39" bottom="0.46" header="0.17" footer="0.17"/>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Y20"/>
  <sheetViews>
    <sheetView topLeftCell="A2" workbookViewId="0">
      <pane xSplit="3" ySplit="8" topLeftCell="K12" activePane="bottomRight" state="frozen"/>
      <selection activeCell="A2" sqref="A2"/>
      <selection pane="topRight" activeCell="D2" sqref="D2"/>
      <selection pane="bottomLeft" activeCell="A10" sqref="A10"/>
      <selection pane="bottomRight" activeCell="Z13" sqref="Z13"/>
    </sheetView>
  </sheetViews>
  <sheetFormatPr defaultRowHeight="16.5" x14ac:dyDescent="0.25"/>
  <cols>
    <col min="1" max="1" width="4.5703125" style="1" customWidth="1"/>
    <col min="2" max="2" width="11.140625" style="1" customWidth="1"/>
    <col min="3" max="3" width="27.28515625" style="1" customWidth="1"/>
    <col min="4" max="4" width="6.140625" style="1" customWidth="1"/>
    <col min="5" max="6" width="4.28515625" style="1" customWidth="1"/>
    <col min="7" max="7" width="6.140625" style="1" customWidth="1"/>
    <col min="8" max="8" width="4.28515625" style="1" customWidth="1"/>
    <col min="9" max="9" width="3.85546875" style="1" customWidth="1"/>
    <col min="10" max="13" width="4.28515625" style="1" customWidth="1"/>
    <col min="14" max="14" width="5.85546875" style="1" customWidth="1"/>
    <col min="15" max="18" width="4.42578125" style="1" customWidth="1"/>
    <col min="19" max="19" width="4" style="1" customWidth="1"/>
    <col min="20" max="22" width="4.42578125" style="1" customWidth="1"/>
    <col min="23" max="23" width="3.85546875" style="1" customWidth="1"/>
    <col min="24" max="24" width="7" style="1" customWidth="1"/>
    <col min="25" max="16384" width="9.140625" style="1"/>
  </cols>
  <sheetData>
    <row r="2" spans="1:25" x14ac:dyDescent="0.25">
      <c r="C2" s="4" t="s">
        <v>28</v>
      </c>
      <c r="P2" s="10" t="s">
        <v>31</v>
      </c>
    </row>
    <row r="3" spans="1:25" x14ac:dyDescent="0.25">
      <c r="C3" s="4" t="s">
        <v>29</v>
      </c>
      <c r="P3" s="10" t="s">
        <v>32</v>
      </c>
    </row>
    <row r="4" spans="1:25" ht="24" customHeight="1" x14ac:dyDescent="0.25">
      <c r="C4" s="12" t="s">
        <v>30</v>
      </c>
      <c r="P4" s="11" t="s">
        <v>36</v>
      </c>
    </row>
    <row r="5" spans="1:25" ht="30.75" customHeight="1" x14ac:dyDescent="0.3">
      <c r="A5" s="30" t="s">
        <v>35</v>
      </c>
      <c r="B5" s="30"/>
      <c r="C5" s="30"/>
      <c r="D5" s="30"/>
      <c r="E5" s="30"/>
      <c r="F5" s="30"/>
      <c r="G5" s="30"/>
      <c r="H5" s="30"/>
      <c r="I5" s="30"/>
      <c r="J5" s="30"/>
      <c r="K5" s="30"/>
      <c r="L5" s="30"/>
      <c r="M5" s="30"/>
      <c r="N5" s="30"/>
      <c r="O5" s="30"/>
      <c r="P5" s="30"/>
      <c r="Q5" s="30"/>
      <c r="R5" s="30"/>
      <c r="S5" s="30"/>
      <c r="T5" s="30"/>
      <c r="U5" s="30"/>
      <c r="V5" s="30"/>
      <c r="W5" s="30"/>
      <c r="X5" s="30"/>
    </row>
    <row r="7" spans="1:25" x14ac:dyDescent="0.25">
      <c r="A7" s="31" t="s">
        <v>0</v>
      </c>
      <c r="B7" s="31" t="s">
        <v>1</v>
      </c>
      <c r="C7" s="31" t="s">
        <v>2</v>
      </c>
      <c r="D7" s="34" t="s">
        <v>3</v>
      </c>
      <c r="E7" s="34"/>
      <c r="F7" s="34"/>
      <c r="G7" s="34"/>
      <c r="H7" s="34"/>
      <c r="I7" s="34"/>
      <c r="J7" s="34"/>
      <c r="K7" s="34"/>
      <c r="L7" s="34"/>
      <c r="M7" s="34"/>
      <c r="N7" s="34"/>
      <c r="O7" s="34"/>
      <c r="P7" s="34"/>
      <c r="Q7" s="34"/>
      <c r="R7" s="34"/>
      <c r="S7" s="34"/>
      <c r="T7" s="34"/>
      <c r="U7" s="34"/>
      <c r="V7" s="34"/>
      <c r="W7" s="34"/>
      <c r="X7" s="34" t="s">
        <v>15</v>
      </c>
    </row>
    <row r="8" spans="1:25" ht="16.5" customHeight="1" x14ac:dyDescent="0.25">
      <c r="A8" s="32"/>
      <c r="B8" s="32"/>
      <c r="C8" s="32"/>
      <c r="D8" s="41" t="s">
        <v>4</v>
      </c>
      <c r="E8" s="42"/>
      <c r="F8" s="42"/>
      <c r="G8" s="42"/>
      <c r="H8" s="42"/>
      <c r="I8" s="42"/>
      <c r="J8" s="42"/>
      <c r="K8" s="42"/>
      <c r="L8" s="42"/>
      <c r="M8" s="43"/>
      <c r="N8" s="41" t="s">
        <v>5</v>
      </c>
      <c r="O8" s="42"/>
      <c r="P8" s="42"/>
      <c r="Q8" s="42"/>
      <c r="R8" s="42"/>
      <c r="S8" s="42"/>
      <c r="T8" s="42"/>
      <c r="U8" s="42"/>
      <c r="V8" s="42"/>
      <c r="W8" s="43"/>
      <c r="X8" s="34"/>
    </row>
    <row r="9" spans="1:25" ht="38.25" x14ac:dyDescent="0.25">
      <c r="A9" s="33"/>
      <c r="B9" s="33"/>
      <c r="C9" s="33"/>
      <c r="D9" s="13" t="s">
        <v>14</v>
      </c>
      <c r="E9" s="13" t="s">
        <v>6</v>
      </c>
      <c r="F9" s="13" t="s">
        <v>7</v>
      </c>
      <c r="G9" s="13" t="s">
        <v>8</v>
      </c>
      <c r="H9" s="13" t="s">
        <v>9</v>
      </c>
      <c r="I9" s="13" t="s">
        <v>10</v>
      </c>
      <c r="J9" s="13" t="s">
        <v>11</v>
      </c>
      <c r="K9" s="13" t="s">
        <v>20</v>
      </c>
      <c r="L9" s="13" t="s">
        <v>12</v>
      </c>
      <c r="M9" s="13" t="s">
        <v>13</v>
      </c>
      <c r="N9" s="13" t="s">
        <v>14</v>
      </c>
      <c r="O9" s="13" t="s">
        <v>6</v>
      </c>
      <c r="P9" s="13" t="s">
        <v>7</v>
      </c>
      <c r="Q9" s="13" t="s">
        <v>8</v>
      </c>
      <c r="R9" s="13" t="s">
        <v>9</v>
      </c>
      <c r="S9" s="13" t="s">
        <v>10</v>
      </c>
      <c r="T9" s="13" t="s">
        <v>11</v>
      </c>
      <c r="U9" s="13" t="s">
        <v>20</v>
      </c>
      <c r="V9" s="13" t="s">
        <v>12</v>
      </c>
      <c r="W9" s="13" t="s">
        <v>13</v>
      </c>
      <c r="X9" s="34"/>
    </row>
    <row r="10" spans="1:25" ht="132" x14ac:dyDescent="0.25">
      <c r="A10" s="6">
        <v>1</v>
      </c>
      <c r="B10" s="19" t="s">
        <v>26</v>
      </c>
      <c r="C10" s="5" t="s">
        <v>48</v>
      </c>
      <c r="D10" s="6">
        <f t="shared" ref="D10:D18" si="0">SUM(E10:M10)</f>
        <v>0</v>
      </c>
      <c r="E10" s="6"/>
      <c r="F10" s="6"/>
      <c r="G10" s="6"/>
      <c r="H10" s="6"/>
      <c r="I10" s="6"/>
      <c r="J10" s="6"/>
      <c r="K10" s="6"/>
      <c r="L10" s="6"/>
      <c r="M10" s="6"/>
      <c r="N10" s="6">
        <f t="shared" ref="N10:N18" si="1">SUM(O10:W10)</f>
        <v>34</v>
      </c>
      <c r="O10" s="6"/>
      <c r="P10" s="6"/>
      <c r="Q10" s="6">
        <v>34</v>
      </c>
      <c r="R10" s="6"/>
      <c r="S10" s="6"/>
      <c r="T10" s="6"/>
      <c r="U10" s="6"/>
      <c r="V10" s="6"/>
      <c r="W10" s="6"/>
      <c r="X10" s="6"/>
    </row>
    <row r="11" spans="1:25" ht="132" x14ac:dyDescent="0.25">
      <c r="A11" s="6">
        <v>2</v>
      </c>
      <c r="B11" s="19" t="s">
        <v>27</v>
      </c>
      <c r="C11" s="5" t="s">
        <v>49</v>
      </c>
      <c r="D11" s="6">
        <f t="shared" si="0"/>
        <v>0</v>
      </c>
      <c r="E11" s="6"/>
      <c r="F11" s="6"/>
      <c r="G11" s="6"/>
      <c r="H11" s="6"/>
      <c r="I11" s="6"/>
      <c r="J11" s="6"/>
      <c r="K11" s="6"/>
      <c r="L11" s="6"/>
      <c r="M11" s="6"/>
      <c r="N11" s="6">
        <f t="shared" si="1"/>
        <v>19</v>
      </c>
      <c r="O11" s="6"/>
      <c r="P11" s="6">
        <v>19</v>
      </c>
      <c r="Q11" s="6"/>
      <c r="R11" s="6"/>
      <c r="S11" s="6"/>
      <c r="T11" s="6"/>
      <c r="U11" s="6"/>
      <c r="V11" s="6"/>
      <c r="W11" s="6"/>
      <c r="X11" s="6"/>
    </row>
    <row r="12" spans="1:25" ht="115.5" x14ac:dyDescent="0.25">
      <c r="A12" s="6">
        <v>3</v>
      </c>
      <c r="B12" s="19" t="s">
        <v>64</v>
      </c>
      <c r="C12" s="5" t="s">
        <v>65</v>
      </c>
      <c r="D12" s="6">
        <f t="shared" si="0"/>
        <v>166</v>
      </c>
      <c r="E12" s="6">
        <f>1+4+20</f>
        <v>25</v>
      </c>
      <c r="F12" s="6">
        <f>5+19+19</f>
        <v>43</v>
      </c>
      <c r="G12" s="6">
        <f>5+22+31</f>
        <v>58</v>
      </c>
      <c r="H12" s="6">
        <f>1+6</f>
        <v>7</v>
      </c>
      <c r="I12" s="6">
        <f>1+5+12</f>
        <v>18</v>
      </c>
      <c r="J12" s="6">
        <f>3</f>
        <v>3</v>
      </c>
      <c r="K12" s="6">
        <v>6</v>
      </c>
      <c r="L12" s="6"/>
      <c r="M12" s="6">
        <v>6</v>
      </c>
      <c r="N12" s="6">
        <f t="shared" si="1"/>
        <v>0</v>
      </c>
      <c r="O12" s="6"/>
      <c r="P12" s="6"/>
      <c r="Q12" s="6"/>
      <c r="R12" s="6"/>
      <c r="S12" s="6"/>
      <c r="T12" s="6"/>
      <c r="U12" s="6"/>
      <c r="V12" s="6"/>
      <c r="W12" s="6"/>
      <c r="X12" s="6"/>
      <c r="Y12" s="1">
        <f>94-64+1</f>
        <v>31</v>
      </c>
    </row>
    <row r="13" spans="1:25" ht="150.75" customHeight="1" x14ac:dyDescent="0.25">
      <c r="A13" s="6">
        <v>4</v>
      </c>
      <c r="B13" s="19" t="s">
        <v>37</v>
      </c>
      <c r="C13" s="5" t="s">
        <v>50</v>
      </c>
      <c r="D13" s="6">
        <f t="shared" si="0"/>
        <v>16</v>
      </c>
      <c r="E13" s="6"/>
      <c r="F13" s="6">
        <f>15</f>
        <v>15</v>
      </c>
      <c r="G13" s="6"/>
      <c r="H13" s="6"/>
      <c r="I13" s="6"/>
      <c r="J13" s="6"/>
      <c r="K13" s="6">
        <f>1</f>
        <v>1</v>
      </c>
      <c r="L13" s="6"/>
      <c r="M13" s="6"/>
      <c r="N13" s="6">
        <f t="shared" si="1"/>
        <v>36</v>
      </c>
      <c r="O13" s="6">
        <f>1</f>
        <v>1</v>
      </c>
      <c r="P13" s="6">
        <f>2+1</f>
        <v>3</v>
      </c>
      <c r="Q13" s="6">
        <f>3+1+6</f>
        <v>10</v>
      </c>
      <c r="R13" s="6">
        <f>1+2</f>
        <v>3</v>
      </c>
      <c r="S13" s="6">
        <f>1+1+5+8+1</f>
        <v>16</v>
      </c>
      <c r="T13" s="6"/>
      <c r="U13" s="6">
        <f>3</f>
        <v>3</v>
      </c>
      <c r="V13" s="6"/>
      <c r="W13" s="6"/>
      <c r="X13" s="6"/>
    </row>
    <row r="14" spans="1:25" x14ac:dyDescent="0.25">
      <c r="A14" s="6">
        <v>5</v>
      </c>
      <c r="B14" s="3"/>
      <c r="C14" s="3"/>
      <c r="D14" s="6">
        <f t="shared" si="0"/>
        <v>0</v>
      </c>
      <c r="E14" s="6"/>
      <c r="F14" s="6"/>
      <c r="G14" s="6"/>
      <c r="H14" s="6"/>
      <c r="I14" s="6"/>
      <c r="J14" s="6"/>
      <c r="K14" s="6"/>
      <c r="L14" s="6"/>
      <c r="M14" s="6"/>
      <c r="N14" s="6">
        <f t="shared" si="1"/>
        <v>0</v>
      </c>
      <c r="O14" s="6"/>
      <c r="P14" s="6"/>
      <c r="Q14" s="6"/>
      <c r="R14" s="6"/>
      <c r="S14" s="6"/>
      <c r="T14" s="6"/>
      <c r="U14" s="6"/>
      <c r="V14" s="6"/>
      <c r="W14" s="6"/>
      <c r="X14" s="6"/>
    </row>
    <row r="15" spans="1:25" x14ac:dyDescent="0.25">
      <c r="A15" s="6">
        <v>6</v>
      </c>
      <c r="B15" s="3"/>
      <c r="C15" s="3"/>
      <c r="D15" s="6">
        <f t="shared" si="0"/>
        <v>0</v>
      </c>
      <c r="E15" s="6"/>
      <c r="F15" s="6"/>
      <c r="G15" s="6"/>
      <c r="H15" s="6"/>
      <c r="I15" s="6"/>
      <c r="J15" s="6"/>
      <c r="K15" s="6"/>
      <c r="L15" s="6"/>
      <c r="M15" s="6"/>
      <c r="N15" s="6">
        <f t="shared" si="1"/>
        <v>0</v>
      </c>
      <c r="O15" s="6"/>
      <c r="P15" s="6"/>
      <c r="Q15" s="6"/>
      <c r="R15" s="6"/>
      <c r="S15" s="6"/>
      <c r="T15" s="6"/>
      <c r="U15" s="6"/>
      <c r="V15" s="6"/>
      <c r="W15" s="6"/>
      <c r="X15" s="6"/>
    </row>
    <row r="16" spans="1:25" x14ac:dyDescent="0.25">
      <c r="A16" s="6">
        <v>7</v>
      </c>
      <c r="B16" s="3"/>
      <c r="C16" s="3"/>
      <c r="D16" s="6">
        <f t="shared" si="0"/>
        <v>0</v>
      </c>
      <c r="E16" s="6"/>
      <c r="F16" s="6"/>
      <c r="G16" s="6"/>
      <c r="H16" s="6"/>
      <c r="I16" s="6"/>
      <c r="J16" s="6"/>
      <c r="K16" s="6"/>
      <c r="L16" s="6"/>
      <c r="M16" s="6"/>
      <c r="N16" s="6">
        <f t="shared" si="1"/>
        <v>0</v>
      </c>
      <c r="O16" s="6"/>
      <c r="P16" s="6"/>
      <c r="Q16" s="6"/>
      <c r="R16" s="6"/>
      <c r="S16" s="6"/>
      <c r="T16" s="6"/>
      <c r="U16" s="6"/>
      <c r="V16" s="6"/>
      <c r="W16" s="6"/>
      <c r="X16" s="6"/>
    </row>
    <row r="17" spans="1:24" x14ac:dyDescent="0.25">
      <c r="A17" s="6">
        <v>8</v>
      </c>
      <c r="B17" s="3"/>
      <c r="C17" s="3"/>
      <c r="D17" s="6">
        <f t="shared" si="0"/>
        <v>0</v>
      </c>
      <c r="E17" s="6"/>
      <c r="F17" s="6"/>
      <c r="G17" s="6"/>
      <c r="H17" s="6"/>
      <c r="I17" s="6"/>
      <c r="J17" s="6"/>
      <c r="K17" s="6"/>
      <c r="L17" s="6"/>
      <c r="M17" s="6"/>
      <c r="N17" s="6">
        <f t="shared" si="1"/>
        <v>0</v>
      </c>
      <c r="O17" s="6"/>
      <c r="P17" s="6"/>
      <c r="Q17" s="6"/>
      <c r="R17" s="6"/>
      <c r="S17" s="6"/>
      <c r="T17" s="6"/>
      <c r="U17" s="6"/>
      <c r="V17" s="6"/>
      <c r="W17" s="6"/>
      <c r="X17" s="6"/>
    </row>
    <row r="18" spans="1:24" x14ac:dyDescent="0.25">
      <c r="A18" s="6">
        <v>9</v>
      </c>
      <c r="B18" s="3"/>
      <c r="C18" s="3"/>
      <c r="D18" s="6">
        <f t="shared" si="0"/>
        <v>0</v>
      </c>
      <c r="E18" s="6"/>
      <c r="F18" s="6"/>
      <c r="G18" s="6"/>
      <c r="H18" s="6"/>
      <c r="I18" s="6"/>
      <c r="J18" s="6"/>
      <c r="K18" s="6"/>
      <c r="L18" s="6"/>
      <c r="M18" s="6"/>
      <c r="N18" s="6">
        <f t="shared" si="1"/>
        <v>0</v>
      </c>
      <c r="O18" s="6"/>
      <c r="P18" s="6"/>
      <c r="Q18" s="6"/>
      <c r="R18" s="6"/>
      <c r="S18" s="6"/>
      <c r="T18" s="6"/>
      <c r="U18" s="6"/>
      <c r="V18" s="6"/>
      <c r="W18" s="6"/>
      <c r="X18" s="6"/>
    </row>
    <row r="19" spans="1:24" x14ac:dyDescent="0.25">
      <c r="A19" s="39" t="s">
        <v>38</v>
      </c>
      <c r="B19" s="40"/>
      <c r="C19" s="8" t="str">
        <f>"Tổng năm 2020: "&amp;(D19+N19)</f>
        <v>Tổng năm 2020: 271</v>
      </c>
      <c r="D19" s="2">
        <f>SUM(D10:D18)</f>
        <v>182</v>
      </c>
      <c r="E19" s="6">
        <f t="shared" ref="E19:W19" si="2">SUM(E10:E18)</f>
        <v>25</v>
      </c>
      <c r="F19" s="6">
        <f t="shared" si="2"/>
        <v>58</v>
      </c>
      <c r="G19" s="6">
        <f t="shared" si="2"/>
        <v>58</v>
      </c>
      <c r="H19" s="6">
        <f t="shared" si="2"/>
        <v>7</v>
      </c>
      <c r="I19" s="6">
        <f t="shared" si="2"/>
        <v>18</v>
      </c>
      <c r="J19" s="6">
        <f t="shared" si="2"/>
        <v>3</v>
      </c>
      <c r="K19" s="6">
        <f t="shared" si="2"/>
        <v>7</v>
      </c>
      <c r="L19" s="6">
        <f t="shared" si="2"/>
        <v>0</v>
      </c>
      <c r="M19" s="6">
        <f t="shared" si="2"/>
        <v>6</v>
      </c>
      <c r="N19" s="2">
        <f t="shared" si="2"/>
        <v>89</v>
      </c>
      <c r="O19" s="6">
        <f t="shared" si="2"/>
        <v>1</v>
      </c>
      <c r="P19" s="6">
        <f t="shared" si="2"/>
        <v>22</v>
      </c>
      <c r="Q19" s="6">
        <f t="shared" si="2"/>
        <v>44</v>
      </c>
      <c r="R19" s="6">
        <f t="shared" si="2"/>
        <v>3</v>
      </c>
      <c r="S19" s="6">
        <f t="shared" si="2"/>
        <v>16</v>
      </c>
      <c r="T19" s="6">
        <f t="shared" si="2"/>
        <v>0</v>
      </c>
      <c r="U19" s="6">
        <f t="shared" si="2"/>
        <v>3</v>
      </c>
      <c r="V19" s="6">
        <f t="shared" si="2"/>
        <v>0</v>
      </c>
      <c r="W19" s="6">
        <f t="shared" si="2"/>
        <v>0</v>
      </c>
      <c r="X19" s="6"/>
    </row>
    <row r="20" spans="1:24" x14ac:dyDescent="0.25">
      <c r="E20" s="1">
        <f>E19+O19</f>
        <v>26</v>
      </c>
      <c r="F20" s="1">
        <f t="shared" ref="F20:K20" si="3">F19+P19</f>
        <v>80</v>
      </c>
      <c r="G20" s="1">
        <f t="shared" si="3"/>
        <v>102</v>
      </c>
      <c r="H20" s="1">
        <f t="shared" si="3"/>
        <v>10</v>
      </c>
      <c r="I20" s="1">
        <f t="shared" si="3"/>
        <v>34</v>
      </c>
      <c r="J20" s="1">
        <f t="shared" si="3"/>
        <v>3</v>
      </c>
      <c r="K20" s="1">
        <f t="shared" si="3"/>
        <v>10</v>
      </c>
      <c r="L20" s="1">
        <f>L19+V19</f>
        <v>0</v>
      </c>
      <c r="M20" s="1">
        <f>M19+W19</f>
        <v>6</v>
      </c>
    </row>
  </sheetData>
  <mergeCells count="9">
    <mergeCell ref="A5:X5"/>
    <mergeCell ref="A19:B19"/>
    <mergeCell ref="D7:W7"/>
    <mergeCell ref="X7:X9"/>
    <mergeCell ref="A7:A9"/>
    <mergeCell ref="B7:B9"/>
    <mergeCell ref="C7:C9"/>
    <mergeCell ref="D8:M8"/>
    <mergeCell ref="N8:W8"/>
  </mergeCells>
  <pageMargins left="0.42" right="0.36" top="0.47" bottom="0.44" header="0.3" footer="0.17"/>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4"/>
  <sheetViews>
    <sheetView topLeftCell="A7" workbookViewId="0">
      <selection activeCell="I9" sqref="I9"/>
    </sheetView>
  </sheetViews>
  <sheetFormatPr defaultRowHeight="16.5" x14ac:dyDescent="0.25"/>
  <cols>
    <col min="1" max="16384" width="9.140625" style="1"/>
  </cols>
  <sheetData>
    <row r="1" spans="1:9" ht="21.75" customHeight="1" x14ac:dyDescent="0.25">
      <c r="A1" s="28" t="s">
        <v>84</v>
      </c>
      <c r="F1" s="28" t="s">
        <v>95</v>
      </c>
    </row>
    <row r="2" spans="1:9" ht="24.75" customHeight="1" x14ac:dyDescent="0.25">
      <c r="A2" s="2" t="s">
        <v>85</v>
      </c>
      <c r="B2" s="2" t="s">
        <v>86</v>
      </c>
      <c r="C2" s="2" t="s">
        <v>87</v>
      </c>
      <c r="D2" s="2" t="s">
        <v>14</v>
      </c>
      <c r="F2" s="2" t="s">
        <v>85</v>
      </c>
      <c r="G2" s="2" t="s">
        <v>86</v>
      </c>
      <c r="H2" s="2" t="s">
        <v>87</v>
      </c>
      <c r="I2" s="2" t="s">
        <v>14</v>
      </c>
    </row>
    <row r="3" spans="1:9" ht="24.75" customHeight="1" x14ac:dyDescent="0.25">
      <c r="A3" s="27">
        <v>2017</v>
      </c>
      <c r="B3" s="20">
        <f>'2017'!E16</f>
        <v>107</v>
      </c>
      <c r="C3" s="20">
        <f>'2017'!M16</f>
        <v>28</v>
      </c>
      <c r="D3" s="20">
        <f>B3+C3</f>
        <v>135</v>
      </c>
      <c r="F3" s="27">
        <v>2017</v>
      </c>
      <c r="G3" s="20">
        <f>'2017'!F16</f>
        <v>153</v>
      </c>
      <c r="H3" s="20">
        <f>'2017'!N16</f>
        <v>23</v>
      </c>
      <c r="I3" s="20">
        <f>G3+H3</f>
        <v>176</v>
      </c>
    </row>
    <row r="4" spans="1:9" ht="24.75" customHeight="1" x14ac:dyDescent="0.25">
      <c r="A4" s="27">
        <v>2018</v>
      </c>
      <c r="B4" s="20">
        <f>'2018'!E20</f>
        <v>238</v>
      </c>
      <c r="C4" s="20">
        <f>'2018'!M20</f>
        <v>9</v>
      </c>
      <c r="D4" s="20">
        <f t="shared" ref="D4:D6" si="0">B4+C4</f>
        <v>247</v>
      </c>
      <c r="F4" s="27">
        <v>2018</v>
      </c>
      <c r="G4" s="20">
        <f>'2018'!F20</f>
        <v>217</v>
      </c>
      <c r="H4" s="20">
        <f>'2018'!N20</f>
        <v>22</v>
      </c>
      <c r="I4" s="20">
        <f t="shared" ref="I4:I6" si="1">G4+H4</f>
        <v>239</v>
      </c>
    </row>
    <row r="5" spans="1:9" ht="24.75" customHeight="1" x14ac:dyDescent="0.25">
      <c r="A5" s="27">
        <v>2019</v>
      </c>
      <c r="B5" s="20">
        <f>'2019'!E20</f>
        <v>470</v>
      </c>
      <c r="C5" s="20">
        <f>'2019'!N19</f>
        <v>16</v>
      </c>
      <c r="D5" s="20">
        <f t="shared" si="0"/>
        <v>486</v>
      </c>
      <c r="F5" s="27">
        <v>2019</v>
      </c>
      <c r="G5" s="20">
        <f>'2019'!F20</f>
        <v>775</v>
      </c>
      <c r="H5" s="20">
        <f>'2019'!O19</f>
        <v>42</v>
      </c>
      <c r="I5" s="20">
        <f t="shared" si="1"/>
        <v>817</v>
      </c>
    </row>
    <row r="6" spans="1:9" ht="24.75" customHeight="1" x14ac:dyDescent="0.25">
      <c r="A6" s="27">
        <v>2020</v>
      </c>
      <c r="B6" s="20">
        <f>'2020'!E19</f>
        <v>25</v>
      </c>
      <c r="C6" s="20">
        <f>'2020'!O19</f>
        <v>1</v>
      </c>
      <c r="D6" s="20">
        <f t="shared" si="0"/>
        <v>26</v>
      </c>
      <c r="F6" s="27">
        <v>2020</v>
      </c>
      <c r="G6" s="20">
        <f>'2020'!F19</f>
        <v>58</v>
      </c>
      <c r="H6" s="20">
        <f>'2020'!P19</f>
        <v>22</v>
      </c>
      <c r="I6" s="20">
        <f t="shared" si="1"/>
        <v>80</v>
      </c>
    </row>
    <row r="7" spans="1:9" ht="26.25" customHeight="1" x14ac:dyDescent="0.25"/>
    <row r="8" spans="1:9" ht="21.75" customHeight="1" x14ac:dyDescent="0.25">
      <c r="A8" s="28" t="s">
        <v>88</v>
      </c>
      <c r="F8" s="28" t="s">
        <v>89</v>
      </c>
    </row>
    <row r="9" spans="1:9" ht="24.75" customHeight="1" x14ac:dyDescent="0.25">
      <c r="A9" s="2" t="s">
        <v>85</v>
      </c>
      <c r="B9" s="2" t="s">
        <v>86</v>
      </c>
      <c r="C9" s="2" t="s">
        <v>87</v>
      </c>
      <c r="D9" s="2" t="s">
        <v>14</v>
      </c>
      <c r="F9" s="2" t="s">
        <v>85</v>
      </c>
      <c r="G9" s="2" t="s">
        <v>86</v>
      </c>
      <c r="H9" s="2" t="s">
        <v>87</v>
      </c>
      <c r="I9" s="2" t="s">
        <v>14</v>
      </c>
    </row>
    <row r="10" spans="1:9" ht="24.75" customHeight="1" x14ac:dyDescent="0.25">
      <c r="A10" s="27">
        <v>2017</v>
      </c>
      <c r="B10" s="20">
        <f>'2017'!G16</f>
        <v>156</v>
      </c>
      <c r="C10" s="20">
        <f>'2017'!O16</f>
        <v>21</v>
      </c>
      <c r="D10" s="20">
        <f>B10+C10</f>
        <v>177</v>
      </c>
      <c r="F10" s="27">
        <v>2017</v>
      </c>
      <c r="G10" s="20">
        <f>'2017'!H16</f>
        <v>20</v>
      </c>
      <c r="H10" s="20">
        <f>'2017'!P16</f>
        <v>13</v>
      </c>
      <c r="I10" s="20">
        <f>G10+H10</f>
        <v>33</v>
      </c>
    </row>
    <row r="11" spans="1:9" ht="24.75" customHeight="1" x14ac:dyDescent="0.25">
      <c r="A11" s="27">
        <v>2018</v>
      </c>
      <c r="B11" s="20">
        <f>'2018'!G20</f>
        <v>188</v>
      </c>
      <c r="C11" s="20">
        <f>'2018'!O20</f>
        <v>41</v>
      </c>
      <c r="D11" s="20">
        <f t="shared" ref="D11:D13" si="2">B11+C11</f>
        <v>229</v>
      </c>
      <c r="F11" s="27">
        <v>2018</v>
      </c>
      <c r="G11" s="20">
        <f>'2018'!H20</f>
        <v>67</v>
      </c>
      <c r="H11" s="20">
        <f>'2018'!P20</f>
        <v>14</v>
      </c>
      <c r="I11" s="20">
        <f t="shared" ref="I11:I13" si="3">G11+H11</f>
        <v>81</v>
      </c>
    </row>
    <row r="12" spans="1:9" ht="24.75" customHeight="1" x14ac:dyDescent="0.25">
      <c r="A12" s="27">
        <v>2019</v>
      </c>
      <c r="B12" s="20">
        <f>'2019'!G20</f>
        <v>501</v>
      </c>
      <c r="C12" s="20">
        <f>'2019'!P19</f>
        <v>34</v>
      </c>
      <c r="D12" s="20">
        <f t="shared" si="2"/>
        <v>535</v>
      </c>
      <c r="F12" s="27">
        <v>2019</v>
      </c>
      <c r="G12" s="20">
        <f>'2019'!H19</f>
        <v>216</v>
      </c>
      <c r="H12" s="20">
        <f>'2019'!Q19</f>
        <v>10</v>
      </c>
      <c r="I12" s="20">
        <f t="shared" si="3"/>
        <v>226</v>
      </c>
    </row>
    <row r="13" spans="1:9" ht="24.75" customHeight="1" x14ac:dyDescent="0.25">
      <c r="A13" s="27">
        <v>2020</v>
      </c>
      <c r="B13" s="20">
        <f>'2020'!G19</f>
        <v>58</v>
      </c>
      <c r="C13" s="20">
        <f>'2020'!Q19</f>
        <v>44</v>
      </c>
      <c r="D13" s="20">
        <f t="shared" si="2"/>
        <v>102</v>
      </c>
      <c r="F13" s="27">
        <v>2020</v>
      </c>
      <c r="G13" s="20">
        <f>'2020'!H19</f>
        <v>7</v>
      </c>
      <c r="H13" s="20">
        <f>'2020'!R19</f>
        <v>3</v>
      </c>
      <c r="I13" s="20">
        <f t="shared" si="3"/>
        <v>10</v>
      </c>
    </row>
    <row r="14" spans="1:9" ht="31.5" customHeight="1" x14ac:dyDescent="0.25"/>
    <row r="15" spans="1:9" ht="21.75" customHeight="1" x14ac:dyDescent="0.25">
      <c r="A15" s="28" t="s">
        <v>91</v>
      </c>
      <c r="F15" s="28" t="s">
        <v>90</v>
      </c>
    </row>
    <row r="16" spans="1:9" ht="24.75" customHeight="1" x14ac:dyDescent="0.25">
      <c r="A16" s="2" t="s">
        <v>85</v>
      </c>
      <c r="B16" s="2" t="s">
        <v>86</v>
      </c>
      <c r="C16" s="2" t="s">
        <v>87</v>
      </c>
      <c r="D16" s="2" t="s">
        <v>14</v>
      </c>
      <c r="F16" s="2" t="s">
        <v>85</v>
      </c>
      <c r="G16" s="2" t="s">
        <v>86</v>
      </c>
      <c r="H16" s="2" t="s">
        <v>87</v>
      </c>
      <c r="I16" s="2" t="s">
        <v>14</v>
      </c>
    </row>
    <row r="17" spans="1:9" ht="24.75" customHeight="1" x14ac:dyDescent="0.25">
      <c r="A17" s="27">
        <v>2017</v>
      </c>
      <c r="B17" s="20">
        <f>'2017'!I16</f>
        <v>59</v>
      </c>
      <c r="C17" s="20">
        <f>'2017'!Q16</f>
        <v>11</v>
      </c>
      <c r="D17" s="20">
        <f>B17+C17</f>
        <v>70</v>
      </c>
      <c r="F17" s="27">
        <v>2017</v>
      </c>
      <c r="G17" s="20">
        <f>'2017'!J16</f>
        <v>29</v>
      </c>
      <c r="H17" s="20">
        <f>'2017'!R16</f>
        <v>7</v>
      </c>
      <c r="I17" s="20">
        <f>G17+H17</f>
        <v>36</v>
      </c>
    </row>
    <row r="18" spans="1:9" ht="24.75" customHeight="1" x14ac:dyDescent="0.25">
      <c r="A18" s="27">
        <v>2018</v>
      </c>
      <c r="B18" s="20">
        <f>'2018'!I20</f>
        <v>106</v>
      </c>
      <c r="C18" s="20">
        <f>'2018'!Q20</f>
        <v>34</v>
      </c>
      <c r="D18" s="20">
        <f t="shared" ref="D18:D20" si="4">B18+C18</f>
        <v>140</v>
      </c>
      <c r="F18" s="27">
        <v>2018</v>
      </c>
      <c r="G18" s="20">
        <f>'2018'!J20</f>
        <v>148</v>
      </c>
      <c r="H18" s="20">
        <f>'2018'!R20</f>
        <v>3</v>
      </c>
      <c r="I18" s="20">
        <f t="shared" ref="I18:I20" si="5">G18+H18</f>
        <v>151</v>
      </c>
    </row>
    <row r="19" spans="1:9" ht="24.75" customHeight="1" x14ac:dyDescent="0.25">
      <c r="A19" s="27">
        <v>2019</v>
      </c>
      <c r="B19" s="20">
        <f>'2019'!I19</f>
        <v>243</v>
      </c>
      <c r="C19" s="20">
        <f>'2019'!R19</f>
        <v>23</v>
      </c>
      <c r="D19" s="20">
        <f t="shared" si="4"/>
        <v>266</v>
      </c>
      <c r="F19" s="27">
        <v>2019</v>
      </c>
      <c r="G19" s="20">
        <f>'2019'!J19</f>
        <v>134</v>
      </c>
      <c r="H19" s="20">
        <f>'2019'!S19</f>
        <v>8</v>
      </c>
      <c r="I19" s="20">
        <f t="shared" si="5"/>
        <v>142</v>
      </c>
    </row>
    <row r="20" spans="1:9" ht="24.75" customHeight="1" x14ac:dyDescent="0.25">
      <c r="A20" s="27">
        <v>2020</v>
      </c>
      <c r="B20" s="20">
        <f>'2020'!I19</f>
        <v>18</v>
      </c>
      <c r="C20" s="20">
        <f>'2020'!S19</f>
        <v>16</v>
      </c>
      <c r="D20" s="20">
        <f t="shared" si="4"/>
        <v>34</v>
      </c>
      <c r="F20" s="27">
        <v>2020</v>
      </c>
      <c r="G20" s="20">
        <f>'2020'!J19</f>
        <v>3</v>
      </c>
      <c r="H20" s="20">
        <f>'2020'!T19</f>
        <v>0</v>
      </c>
      <c r="I20" s="20">
        <f t="shared" si="5"/>
        <v>3</v>
      </c>
    </row>
    <row r="22" spans="1:9" ht="21.75" customHeight="1" x14ac:dyDescent="0.25">
      <c r="A22" s="28" t="s">
        <v>92</v>
      </c>
      <c r="F22" s="28" t="s">
        <v>93</v>
      </c>
    </row>
    <row r="23" spans="1:9" ht="24.75" customHeight="1" x14ac:dyDescent="0.25">
      <c r="A23" s="2" t="s">
        <v>85</v>
      </c>
      <c r="B23" s="2" t="s">
        <v>86</v>
      </c>
      <c r="C23" s="2" t="s">
        <v>87</v>
      </c>
      <c r="D23" s="2" t="s">
        <v>14</v>
      </c>
      <c r="F23" s="2" t="s">
        <v>85</v>
      </c>
      <c r="G23" s="2" t="s">
        <v>86</v>
      </c>
      <c r="H23" s="2" t="s">
        <v>87</v>
      </c>
      <c r="I23" s="2" t="s">
        <v>14</v>
      </c>
    </row>
    <row r="24" spans="1:9" ht="24.75" customHeight="1" x14ac:dyDescent="0.25">
      <c r="A24" s="27">
        <v>2017</v>
      </c>
      <c r="B24" s="20">
        <f>'2017'!K16</f>
        <v>0</v>
      </c>
      <c r="C24" s="20">
        <f>'2017'!S16</f>
        <v>0</v>
      </c>
      <c r="D24" s="20">
        <f>B24+C24</f>
        <v>0</v>
      </c>
      <c r="F24" s="27">
        <v>2017</v>
      </c>
      <c r="G24" s="20">
        <f>'2017'!J23</f>
        <v>0</v>
      </c>
      <c r="H24" s="20">
        <f>'2017'!R23</f>
        <v>0</v>
      </c>
      <c r="I24" s="20">
        <f>G24+H24</f>
        <v>0</v>
      </c>
    </row>
    <row r="25" spans="1:9" ht="24.75" customHeight="1" x14ac:dyDescent="0.25">
      <c r="A25" s="27">
        <v>2018</v>
      </c>
      <c r="B25" s="20">
        <f>'2018'!K20</f>
        <v>11</v>
      </c>
      <c r="C25" s="20">
        <f>'2018'!S20</f>
        <v>12</v>
      </c>
      <c r="D25" s="20">
        <f t="shared" ref="D25:D27" si="6">B25+C25</f>
        <v>23</v>
      </c>
      <c r="F25" s="27">
        <v>2018</v>
      </c>
      <c r="G25" s="20">
        <f>'2018'!J27</f>
        <v>0</v>
      </c>
      <c r="H25" s="20">
        <f>'2018'!R27</f>
        <v>0</v>
      </c>
      <c r="I25" s="20">
        <f t="shared" ref="I25:I27" si="7">G25+H25</f>
        <v>0</v>
      </c>
    </row>
    <row r="26" spans="1:9" ht="24.75" customHeight="1" x14ac:dyDescent="0.25">
      <c r="A26" s="27">
        <v>2019</v>
      </c>
      <c r="B26" s="20">
        <f>'2019'!K19</f>
        <v>54</v>
      </c>
      <c r="C26" s="20">
        <f>'2019'!T19</f>
        <v>20</v>
      </c>
      <c r="D26" s="20">
        <f t="shared" si="6"/>
        <v>74</v>
      </c>
      <c r="F26" s="27">
        <v>2019</v>
      </c>
      <c r="G26" s="20">
        <f>'2019'!J26</f>
        <v>0</v>
      </c>
      <c r="H26" s="20">
        <f>'2019'!S26</f>
        <v>0</v>
      </c>
      <c r="I26" s="20">
        <f t="shared" si="7"/>
        <v>0</v>
      </c>
    </row>
    <row r="27" spans="1:9" ht="24.75" customHeight="1" x14ac:dyDescent="0.25">
      <c r="A27" s="27">
        <v>2020</v>
      </c>
      <c r="B27" s="20">
        <f>'2020'!K19</f>
        <v>7</v>
      </c>
      <c r="C27" s="20">
        <f>'2020'!U19</f>
        <v>3</v>
      </c>
      <c r="D27" s="20">
        <f t="shared" si="6"/>
        <v>10</v>
      </c>
      <c r="F27" s="27">
        <v>2020</v>
      </c>
      <c r="G27" s="20">
        <f>'2020'!L19</f>
        <v>0</v>
      </c>
      <c r="H27" s="20">
        <f>'2020'!V19</f>
        <v>0</v>
      </c>
      <c r="I27" s="20">
        <f t="shared" si="7"/>
        <v>0</v>
      </c>
    </row>
    <row r="29" spans="1:9" ht="21.75" customHeight="1" x14ac:dyDescent="0.25">
      <c r="A29" s="28" t="s">
        <v>94</v>
      </c>
      <c r="F29" s="28"/>
    </row>
    <row r="30" spans="1:9" ht="24.75" customHeight="1" x14ac:dyDescent="0.25">
      <c r="A30" s="2" t="s">
        <v>85</v>
      </c>
      <c r="B30" s="2" t="s">
        <v>86</v>
      </c>
      <c r="C30" s="2" t="s">
        <v>87</v>
      </c>
      <c r="D30" s="2" t="s">
        <v>14</v>
      </c>
      <c r="F30" s="2"/>
      <c r="G30" s="2"/>
      <c r="H30" s="2"/>
      <c r="I30" s="2"/>
    </row>
    <row r="31" spans="1:9" ht="24.75" customHeight="1" x14ac:dyDescent="0.25">
      <c r="A31" s="27">
        <v>2017</v>
      </c>
      <c r="B31" s="20">
        <f>'2017'!I30</f>
        <v>0</v>
      </c>
      <c r="C31" s="20">
        <f>'2017'!Q30</f>
        <v>0</v>
      </c>
      <c r="D31" s="20">
        <f>B31+C31</f>
        <v>0</v>
      </c>
      <c r="F31" s="27"/>
      <c r="G31" s="20"/>
      <c r="H31" s="20"/>
      <c r="I31" s="20"/>
    </row>
    <row r="32" spans="1:9" ht="24.75" customHeight="1" x14ac:dyDescent="0.25">
      <c r="A32" s="27">
        <v>2018</v>
      </c>
      <c r="B32" s="20">
        <f>'2018'!I34</f>
        <v>0</v>
      </c>
      <c r="C32" s="20">
        <f>'2018'!Q34</f>
        <v>0</v>
      </c>
      <c r="D32" s="20">
        <f t="shared" ref="D32:D34" si="8">B32+C32</f>
        <v>0</v>
      </c>
      <c r="F32" s="27"/>
      <c r="G32" s="20"/>
      <c r="H32" s="20"/>
      <c r="I32" s="20"/>
    </row>
    <row r="33" spans="1:9" ht="24.75" customHeight="1" x14ac:dyDescent="0.25">
      <c r="A33" s="27">
        <v>2019</v>
      </c>
      <c r="B33" s="20">
        <f>'2019'!L19</f>
        <v>39</v>
      </c>
      <c r="C33" s="20">
        <v>0</v>
      </c>
      <c r="D33" s="20">
        <f t="shared" si="8"/>
        <v>39</v>
      </c>
      <c r="F33" s="27"/>
      <c r="G33" s="20"/>
      <c r="H33" s="20"/>
      <c r="I33" s="20"/>
    </row>
    <row r="34" spans="1:9" ht="24.75" customHeight="1" x14ac:dyDescent="0.25">
      <c r="A34" s="27">
        <v>2020</v>
      </c>
      <c r="B34" s="20">
        <f>'2020'!M19</f>
        <v>6</v>
      </c>
      <c r="C34" s="20">
        <f>'2020'!W19</f>
        <v>0</v>
      </c>
      <c r="D34" s="20">
        <f t="shared" si="8"/>
        <v>6</v>
      </c>
      <c r="F34" s="27"/>
      <c r="G34" s="20"/>
      <c r="H34" s="20"/>
      <c r="I34" s="20"/>
    </row>
  </sheetData>
  <pageMargins left="0.7" right="0.7" top="0.42" bottom="0.28000000000000003" header="0.19" footer="0.18"/>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3"/>
  <sheetViews>
    <sheetView tabSelected="1" topLeftCell="A4" workbookViewId="0">
      <selection activeCell="H25" sqref="H25"/>
    </sheetView>
  </sheetViews>
  <sheetFormatPr defaultRowHeight="16.5" x14ac:dyDescent="0.25"/>
  <cols>
    <col min="1" max="1" width="5.28515625" style="1" customWidth="1"/>
    <col min="2" max="2" width="23.140625" style="1" customWidth="1"/>
    <col min="3" max="16384" width="9.140625" style="1"/>
  </cols>
  <sheetData>
    <row r="1" spans="1:14" ht="27.75" customHeight="1" x14ac:dyDescent="0.3">
      <c r="A1" s="30" t="s">
        <v>110</v>
      </c>
      <c r="B1" s="30"/>
      <c r="C1" s="30"/>
      <c r="D1" s="30"/>
      <c r="E1" s="30"/>
      <c r="F1" s="30"/>
      <c r="G1" s="30"/>
      <c r="H1" s="30"/>
      <c r="I1" s="30"/>
      <c r="J1" s="30"/>
      <c r="K1" s="30"/>
      <c r="L1" s="30"/>
      <c r="M1" s="30"/>
      <c r="N1" s="30"/>
    </row>
    <row r="2" spans="1:14" ht="35.25" customHeight="1" x14ac:dyDescent="0.25">
      <c r="A2" s="44" t="s">
        <v>111</v>
      </c>
    </row>
    <row r="3" spans="1:14" ht="9.75" customHeight="1" x14ac:dyDescent="0.25">
      <c r="A3" s="49"/>
    </row>
    <row r="4" spans="1:14" ht="36" customHeight="1" x14ac:dyDescent="0.25">
      <c r="A4" s="45" t="s">
        <v>96</v>
      </c>
      <c r="B4" s="45" t="s">
        <v>109</v>
      </c>
      <c r="C4" s="41" t="s">
        <v>97</v>
      </c>
      <c r="D4" s="42"/>
      <c r="E4" s="43"/>
      <c r="F4" s="41" t="s">
        <v>98</v>
      </c>
      <c r="G4" s="42"/>
      <c r="H4" s="43"/>
      <c r="I4" s="41" t="s">
        <v>99</v>
      </c>
      <c r="J4" s="42"/>
      <c r="K4" s="43"/>
      <c r="L4" s="41" t="s">
        <v>100</v>
      </c>
      <c r="M4" s="42"/>
      <c r="N4" s="43"/>
    </row>
    <row r="5" spans="1:14" ht="21.75" customHeight="1" x14ac:dyDescent="0.25">
      <c r="A5" s="46"/>
      <c r="B5" s="46"/>
      <c r="C5" s="2" t="s">
        <v>86</v>
      </c>
      <c r="D5" s="2" t="s">
        <v>87</v>
      </c>
      <c r="E5" s="2" t="s">
        <v>14</v>
      </c>
      <c r="F5" s="2" t="s">
        <v>86</v>
      </c>
      <c r="G5" s="2" t="s">
        <v>87</v>
      </c>
      <c r="H5" s="2" t="s">
        <v>14</v>
      </c>
      <c r="I5" s="2" t="s">
        <v>86</v>
      </c>
      <c r="J5" s="2" t="s">
        <v>87</v>
      </c>
      <c r="K5" s="2" t="s">
        <v>14</v>
      </c>
      <c r="L5" s="2" t="s">
        <v>86</v>
      </c>
      <c r="M5" s="2" t="s">
        <v>87</v>
      </c>
      <c r="N5" s="2" t="s">
        <v>14</v>
      </c>
    </row>
    <row r="6" spans="1:14" ht="21.75" customHeight="1" x14ac:dyDescent="0.25">
      <c r="A6" s="3"/>
      <c r="B6" s="3" t="s">
        <v>101</v>
      </c>
      <c r="C6" s="26">
        <f>'2017'!E16</f>
        <v>107</v>
      </c>
      <c r="D6" s="26">
        <f>'2017'!M16</f>
        <v>28</v>
      </c>
      <c r="E6" s="24">
        <f>C6+D6</f>
        <v>135</v>
      </c>
      <c r="F6" s="26">
        <f>'2018'!E20</f>
        <v>238</v>
      </c>
      <c r="G6" s="26">
        <f>'2018'!M20</f>
        <v>9</v>
      </c>
      <c r="H6" s="24">
        <f>F6+G6</f>
        <v>247</v>
      </c>
      <c r="I6" s="26">
        <f>'2019'!E20</f>
        <v>470</v>
      </c>
      <c r="J6" s="26">
        <f>'2019'!N19</f>
        <v>16</v>
      </c>
      <c r="K6" s="24">
        <f>I6+J6</f>
        <v>486</v>
      </c>
      <c r="L6" s="26">
        <f>'2020'!E19</f>
        <v>25</v>
      </c>
      <c r="M6" s="26">
        <f>'2020'!O19</f>
        <v>1</v>
      </c>
      <c r="N6" s="24">
        <f>L6+M6</f>
        <v>26</v>
      </c>
    </row>
    <row r="7" spans="1:14" ht="21.75" customHeight="1" x14ac:dyDescent="0.25">
      <c r="A7" s="3"/>
      <c r="B7" s="3" t="s">
        <v>102</v>
      </c>
      <c r="C7" s="26">
        <f>'2017'!F16</f>
        <v>153</v>
      </c>
      <c r="D7" s="26">
        <f>'2017'!N16</f>
        <v>23</v>
      </c>
      <c r="E7" s="24">
        <f t="shared" ref="E7:E14" si="0">C7+D7</f>
        <v>176</v>
      </c>
      <c r="F7" s="26">
        <f>'2018'!F20</f>
        <v>217</v>
      </c>
      <c r="G7" s="26">
        <f>'2018'!N20</f>
        <v>22</v>
      </c>
      <c r="H7" s="24">
        <f t="shared" ref="H7:H14" si="1">F7+G7</f>
        <v>239</v>
      </c>
      <c r="I7" s="26">
        <f>'2019'!F20</f>
        <v>775</v>
      </c>
      <c r="J7" s="26">
        <f>'2019'!O19</f>
        <v>42</v>
      </c>
      <c r="K7" s="24">
        <f t="shared" ref="K7:K14" si="2">I7+J7</f>
        <v>817</v>
      </c>
      <c r="L7" s="26">
        <f>'2020'!F19</f>
        <v>58</v>
      </c>
      <c r="M7" s="26">
        <f>'2020'!P19</f>
        <v>22</v>
      </c>
      <c r="N7" s="24">
        <f t="shared" ref="N7:N15" si="3">L7+M7</f>
        <v>80</v>
      </c>
    </row>
    <row r="8" spans="1:14" ht="21.75" customHeight="1" x14ac:dyDescent="0.25">
      <c r="A8" s="3"/>
      <c r="B8" s="3" t="s">
        <v>103</v>
      </c>
      <c r="C8" s="26">
        <f>'2017'!G16</f>
        <v>156</v>
      </c>
      <c r="D8" s="26">
        <f>'2017'!O16</f>
        <v>21</v>
      </c>
      <c r="E8" s="24">
        <f t="shared" si="0"/>
        <v>177</v>
      </c>
      <c r="F8" s="26">
        <f>'2018'!G20</f>
        <v>188</v>
      </c>
      <c r="G8" s="26">
        <f>'2018'!O20</f>
        <v>41</v>
      </c>
      <c r="H8" s="24">
        <f t="shared" si="1"/>
        <v>229</v>
      </c>
      <c r="I8" s="26">
        <f>'2019'!G20</f>
        <v>501</v>
      </c>
      <c r="J8" s="26">
        <f>'2019'!P19</f>
        <v>34</v>
      </c>
      <c r="K8" s="24">
        <f t="shared" si="2"/>
        <v>535</v>
      </c>
      <c r="L8" s="26">
        <f>'2020'!G19</f>
        <v>58</v>
      </c>
      <c r="M8" s="26">
        <f>'2020'!Q19</f>
        <v>44</v>
      </c>
      <c r="N8" s="24">
        <f t="shared" si="3"/>
        <v>102</v>
      </c>
    </row>
    <row r="9" spans="1:14" ht="21.75" customHeight="1" x14ac:dyDescent="0.25">
      <c r="A9" s="3"/>
      <c r="B9" s="3" t="s">
        <v>104</v>
      </c>
      <c r="C9" s="26">
        <f>'2017'!H16</f>
        <v>20</v>
      </c>
      <c r="D9" s="26">
        <f>'2017'!P16</f>
        <v>13</v>
      </c>
      <c r="E9" s="24">
        <f t="shared" si="0"/>
        <v>33</v>
      </c>
      <c r="F9" s="26">
        <f>'2018'!H20</f>
        <v>67</v>
      </c>
      <c r="G9" s="26">
        <f>'2018'!P20</f>
        <v>14</v>
      </c>
      <c r="H9" s="24">
        <f t="shared" si="1"/>
        <v>81</v>
      </c>
      <c r="I9" s="26">
        <f>'2019'!H19</f>
        <v>216</v>
      </c>
      <c r="J9" s="26">
        <f>'2019'!Q19</f>
        <v>10</v>
      </c>
      <c r="K9" s="24">
        <f t="shared" si="2"/>
        <v>226</v>
      </c>
      <c r="L9" s="26">
        <f>'2020'!H19</f>
        <v>7</v>
      </c>
      <c r="M9" s="26">
        <f>'2020'!R19</f>
        <v>3</v>
      </c>
      <c r="N9" s="24">
        <f t="shared" si="3"/>
        <v>10</v>
      </c>
    </row>
    <row r="10" spans="1:14" ht="21.75" customHeight="1" x14ac:dyDescent="0.25">
      <c r="A10" s="3"/>
      <c r="B10" s="3" t="s">
        <v>10</v>
      </c>
      <c r="C10" s="26">
        <f>'2017'!I16</f>
        <v>59</v>
      </c>
      <c r="D10" s="26">
        <f>'2017'!Q16</f>
        <v>11</v>
      </c>
      <c r="E10" s="24">
        <f t="shared" si="0"/>
        <v>70</v>
      </c>
      <c r="F10" s="26">
        <f>'2018'!I20</f>
        <v>106</v>
      </c>
      <c r="G10" s="26">
        <f>'2018'!Q20</f>
        <v>34</v>
      </c>
      <c r="H10" s="24">
        <f t="shared" si="1"/>
        <v>140</v>
      </c>
      <c r="I10" s="26">
        <f>'2019'!I19</f>
        <v>243</v>
      </c>
      <c r="J10" s="26">
        <f>'2019'!R19</f>
        <v>23</v>
      </c>
      <c r="K10" s="24">
        <f t="shared" si="2"/>
        <v>266</v>
      </c>
      <c r="L10" s="26">
        <f>'2020'!I19</f>
        <v>18</v>
      </c>
      <c r="M10" s="26">
        <f>'2020'!S19</f>
        <v>16</v>
      </c>
      <c r="N10" s="24">
        <f t="shared" si="3"/>
        <v>34</v>
      </c>
    </row>
    <row r="11" spans="1:14" ht="21.75" customHeight="1" x14ac:dyDescent="0.25">
      <c r="A11" s="3"/>
      <c r="B11" s="3" t="s">
        <v>105</v>
      </c>
      <c r="C11" s="26">
        <f>'2017'!J16</f>
        <v>29</v>
      </c>
      <c r="D11" s="26">
        <f>'2017'!R16</f>
        <v>7</v>
      </c>
      <c r="E11" s="24">
        <f t="shared" si="0"/>
        <v>36</v>
      </c>
      <c r="F11" s="26">
        <f>'2018'!J20</f>
        <v>148</v>
      </c>
      <c r="G11" s="26">
        <f>'2018'!R20</f>
        <v>3</v>
      </c>
      <c r="H11" s="24">
        <f t="shared" si="1"/>
        <v>151</v>
      </c>
      <c r="I11" s="26">
        <f>'2019'!J19</f>
        <v>134</v>
      </c>
      <c r="J11" s="26">
        <f>'2019'!S19</f>
        <v>8</v>
      </c>
      <c r="K11" s="24">
        <f t="shared" si="2"/>
        <v>142</v>
      </c>
      <c r="L11" s="26">
        <f>'2020'!J19</f>
        <v>3</v>
      </c>
      <c r="M11" s="26">
        <f>'2020'!T19</f>
        <v>0</v>
      </c>
      <c r="N11" s="24">
        <f t="shared" si="3"/>
        <v>3</v>
      </c>
    </row>
    <row r="12" spans="1:14" ht="21.75" customHeight="1" x14ac:dyDescent="0.25">
      <c r="A12" s="3"/>
      <c r="B12" s="3" t="s">
        <v>106</v>
      </c>
      <c r="C12" s="26">
        <f>'2017'!K16</f>
        <v>0</v>
      </c>
      <c r="D12" s="26">
        <f>'2017'!S16</f>
        <v>0</v>
      </c>
      <c r="E12" s="24">
        <f t="shared" si="0"/>
        <v>0</v>
      </c>
      <c r="F12" s="26">
        <f>'2018'!K20</f>
        <v>11</v>
      </c>
      <c r="G12" s="26">
        <f>'2018'!S20</f>
        <v>12</v>
      </c>
      <c r="H12" s="24">
        <f t="shared" si="1"/>
        <v>23</v>
      </c>
      <c r="I12" s="26">
        <f>'2019'!K19</f>
        <v>54</v>
      </c>
      <c r="J12" s="26">
        <f>'2019'!T19</f>
        <v>20</v>
      </c>
      <c r="K12" s="24">
        <f t="shared" si="2"/>
        <v>74</v>
      </c>
      <c r="L12" s="26">
        <f>'2020'!K19</f>
        <v>7</v>
      </c>
      <c r="M12" s="26">
        <f>'2020'!U19</f>
        <v>3</v>
      </c>
      <c r="N12" s="24">
        <f t="shared" si="3"/>
        <v>10</v>
      </c>
    </row>
    <row r="13" spans="1:14" ht="21.75" customHeight="1" x14ac:dyDescent="0.25">
      <c r="A13" s="3"/>
      <c r="B13" s="3" t="s">
        <v>107</v>
      </c>
      <c r="C13" s="26">
        <f>'2017'!J23</f>
        <v>0</v>
      </c>
      <c r="D13" s="26">
        <f>'2017'!R23</f>
        <v>0</v>
      </c>
      <c r="E13" s="24">
        <f t="shared" si="0"/>
        <v>0</v>
      </c>
      <c r="F13" s="26">
        <f>'2018'!J27</f>
        <v>0</v>
      </c>
      <c r="G13" s="26">
        <f>'2018'!R27</f>
        <v>0</v>
      </c>
      <c r="H13" s="24">
        <f t="shared" si="1"/>
        <v>0</v>
      </c>
      <c r="I13" s="26">
        <f>'2019'!J26</f>
        <v>0</v>
      </c>
      <c r="J13" s="26">
        <f>'2019'!S26</f>
        <v>0</v>
      </c>
      <c r="K13" s="24">
        <f t="shared" si="2"/>
        <v>0</v>
      </c>
      <c r="L13" s="26">
        <f>'2020'!L19</f>
        <v>0</v>
      </c>
      <c r="M13" s="26">
        <f>'2020'!V19</f>
        <v>0</v>
      </c>
      <c r="N13" s="24">
        <f t="shared" si="3"/>
        <v>0</v>
      </c>
    </row>
    <row r="14" spans="1:14" ht="21.75" customHeight="1" x14ac:dyDescent="0.25">
      <c r="A14" s="3"/>
      <c r="B14" s="3" t="s">
        <v>108</v>
      </c>
      <c r="C14" s="26">
        <f>'2017'!I30</f>
        <v>0</v>
      </c>
      <c r="D14" s="26">
        <f>'2017'!Q30</f>
        <v>0</v>
      </c>
      <c r="E14" s="24">
        <f t="shared" si="0"/>
        <v>0</v>
      </c>
      <c r="F14" s="26">
        <f>'2018'!I34</f>
        <v>0</v>
      </c>
      <c r="G14" s="26">
        <f>'2018'!Q34</f>
        <v>0</v>
      </c>
      <c r="H14" s="24">
        <f t="shared" si="1"/>
        <v>0</v>
      </c>
      <c r="I14" s="26">
        <f>'2019'!L19</f>
        <v>39</v>
      </c>
      <c r="J14" s="26">
        <f>'2019'!U19</f>
        <v>0</v>
      </c>
      <c r="K14" s="24">
        <f t="shared" si="2"/>
        <v>39</v>
      </c>
      <c r="L14" s="26">
        <f>'2020'!M19</f>
        <v>6</v>
      </c>
      <c r="M14" s="26">
        <f>'2020'!W19</f>
        <v>0</v>
      </c>
      <c r="N14" s="24">
        <f t="shared" si="3"/>
        <v>6</v>
      </c>
    </row>
    <row r="15" spans="1:14" ht="21.75" customHeight="1" x14ac:dyDescent="0.25">
      <c r="A15" s="47" t="s">
        <v>14</v>
      </c>
      <c r="B15" s="48"/>
      <c r="C15" s="2">
        <f>SUM(C6:C14)</f>
        <v>524</v>
      </c>
      <c r="D15" s="2">
        <f t="shared" ref="D15:M15" si="4">SUM(D6:D14)</f>
        <v>103</v>
      </c>
      <c r="E15" s="2">
        <f t="shared" si="4"/>
        <v>627</v>
      </c>
      <c r="F15" s="2">
        <f t="shared" si="4"/>
        <v>975</v>
      </c>
      <c r="G15" s="2">
        <f t="shared" si="4"/>
        <v>135</v>
      </c>
      <c r="H15" s="2">
        <f t="shared" si="4"/>
        <v>1110</v>
      </c>
      <c r="I15" s="2">
        <f t="shared" si="4"/>
        <v>2432</v>
      </c>
      <c r="J15" s="2">
        <f t="shared" si="4"/>
        <v>153</v>
      </c>
      <c r="K15" s="2">
        <f t="shared" si="4"/>
        <v>2585</v>
      </c>
      <c r="L15" s="2">
        <f t="shared" si="4"/>
        <v>182</v>
      </c>
      <c r="M15" s="2">
        <f t="shared" si="4"/>
        <v>89</v>
      </c>
      <c r="N15" s="2">
        <f t="shared" si="3"/>
        <v>271</v>
      </c>
    </row>
    <row r="16" spans="1:14" ht="21.75" customHeight="1" x14ac:dyDescent="0.25">
      <c r="C16" s="4"/>
      <c r="D16" s="4"/>
      <c r="E16" s="4"/>
      <c r="F16" s="4"/>
      <c r="G16" s="4"/>
      <c r="H16" s="4"/>
      <c r="I16" s="4"/>
      <c r="J16" s="4"/>
      <c r="K16" s="4"/>
      <c r="L16" s="4"/>
      <c r="M16" s="4"/>
      <c r="N16" s="4"/>
    </row>
    <row r="17" spans="1:7" x14ac:dyDescent="0.25">
      <c r="A17" s="1" t="s">
        <v>112</v>
      </c>
    </row>
    <row r="18" spans="1:7" ht="6" customHeight="1" x14ac:dyDescent="0.25"/>
    <row r="19" spans="1:7" ht="42" customHeight="1" x14ac:dyDescent="0.25">
      <c r="A19" s="25" t="s">
        <v>96</v>
      </c>
      <c r="B19" s="25" t="s">
        <v>113</v>
      </c>
      <c r="C19" s="25" t="s">
        <v>114</v>
      </c>
    </row>
    <row r="20" spans="1:7" ht="29.25" customHeight="1" x14ac:dyDescent="0.25">
      <c r="A20" s="6">
        <v>1</v>
      </c>
      <c r="B20" s="6">
        <v>2017</v>
      </c>
      <c r="C20" s="2">
        <v>525</v>
      </c>
      <c r="G20" s="4"/>
    </row>
    <row r="21" spans="1:7" ht="29.25" customHeight="1" x14ac:dyDescent="0.25">
      <c r="A21" s="6">
        <v>2</v>
      </c>
      <c r="B21" s="6">
        <v>2018</v>
      </c>
      <c r="C21" s="2">
        <v>950</v>
      </c>
    </row>
    <row r="22" spans="1:7" ht="29.25" customHeight="1" x14ac:dyDescent="0.25">
      <c r="A22" s="6">
        <v>3</v>
      </c>
      <c r="B22" s="6">
        <v>2019</v>
      </c>
      <c r="C22" s="2">
        <v>1409</v>
      </c>
    </row>
    <row r="23" spans="1:7" ht="35.1" customHeight="1" x14ac:dyDescent="0.25">
      <c r="A23" s="6">
        <v>4</v>
      </c>
      <c r="B23" s="6">
        <v>2020</v>
      </c>
      <c r="C23" s="13" t="s">
        <v>115</v>
      </c>
    </row>
  </sheetData>
  <mergeCells count="8">
    <mergeCell ref="A15:B15"/>
    <mergeCell ref="A1:N1"/>
    <mergeCell ref="C4:E4"/>
    <mergeCell ref="F4:H4"/>
    <mergeCell ref="I4:K4"/>
    <mergeCell ref="L4:N4"/>
    <mergeCell ref="B4:B5"/>
    <mergeCell ref="A4:A5"/>
  </mergeCells>
  <pageMargins left="0.4" right="0.31" top="0.42" bottom="0.28000000000000003" header="0.19" footer="0.18"/>
  <pageSetup paperSize="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2017</vt:lpstr>
      <vt:lpstr>2018</vt:lpstr>
      <vt:lpstr>2019</vt:lpstr>
      <vt:lpstr>2020</vt:lpstr>
      <vt:lpstr>Tổng hợp theo khoa</vt:lpstr>
      <vt:lpstr>Tổng hợp báo cáo Trưởng TT</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2020-08-11T09:03:37Z</cp:lastPrinted>
  <dcterms:created xsi:type="dcterms:W3CDTF">2020-07-29T03:21:04Z</dcterms:created>
  <dcterms:modified xsi:type="dcterms:W3CDTF">2020-08-11T09:04:16Z</dcterms:modified>
</cp:coreProperties>
</file>